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PNA\Documentación\Opo2024\SEGUNDA_PRUEBA\CORRECCION\"/>
    </mc:Choice>
  </mc:AlternateContent>
  <xr:revisionPtr revIDLastSave="0" documentId="10_ncr:8000_{42A6EF74-5929-48BE-BE5F-D811EA03A6AD}" xr6:coauthVersionLast="47" xr6:coauthVersionMax="47" xr10:uidLastSave="{00000000-0000-0000-0000-000000000000}"/>
  <bookViews>
    <workbookView xWindow="120" yWindow="120" windowWidth="15180" windowHeight="8520" tabRatio="720" firstSheet="2" activeTab="2" xr2:uid="{00000000-000D-0000-FFFF-FFFF00000000}"/>
  </bookViews>
  <sheets>
    <sheet name="Coste Contrato" sheetId="2" state="hidden" r:id="rId1"/>
    <sheet name="Coste Contratación Personal" sheetId="12" r:id="rId2"/>
    <sheet name="PRESUPUESTO " sheetId="13" r:id="rId3"/>
  </sheets>
  <definedNames>
    <definedName name="_xlnm.Print_Area" localSheetId="1">'Coste Contratación Personal'!$A$1:$M$18</definedName>
    <definedName name="_xlnm.Print_Area" localSheetId="0">'Coste Contrato'!$A$1:$P$36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2" l="1"/>
  <c r="I14" i="12" s="1"/>
  <c r="B9" i="13" l="1"/>
  <c r="I16" i="12"/>
  <c r="I17" i="12"/>
  <c r="I15" i="12"/>
  <c r="J17" i="12"/>
  <c r="J16" i="12"/>
  <c r="J15" i="12"/>
  <c r="L15" i="12"/>
  <c r="J14" i="12"/>
  <c r="J18" i="12" s="1"/>
  <c r="L14" i="12"/>
  <c r="C14" i="12"/>
  <c r="D14" i="12" s="1"/>
  <c r="C17" i="12"/>
  <c r="E17" i="12"/>
  <c r="B23" i="2"/>
  <c r="M25" i="2"/>
  <c r="B20" i="2"/>
  <c r="C20" i="2"/>
  <c r="B17" i="2"/>
  <c r="M18" i="2"/>
  <c r="O18" i="2"/>
  <c r="B14" i="2"/>
  <c r="M14" i="2"/>
  <c r="O14" i="2"/>
  <c r="M15" i="2"/>
  <c r="C10" i="2"/>
  <c r="C9" i="2"/>
  <c r="L14" i="2"/>
  <c r="L21" i="2"/>
  <c r="L22" i="2"/>
  <c r="L18" i="2"/>
  <c r="L19" i="2"/>
  <c r="L8" i="2"/>
  <c r="M8" i="2"/>
  <c r="N8" i="2"/>
  <c r="L15" i="2"/>
  <c r="L20" i="2"/>
  <c r="M21" i="2"/>
  <c r="M19" i="2"/>
  <c r="O19" i="2"/>
  <c r="C14" i="2"/>
  <c r="D14" i="2"/>
  <c r="M22" i="2"/>
  <c r="O22" i="2"/>
  <c r="L23" i="2"/>
  <c r="L24" i="2"/>
  <c r="L25" i="2"/>
  <c r="L16" i="2"/>
  <c r="L17" i="2"/>
  <c r="N33" i="2"/>
  <c r="C23" i="2"/>
  <c r="E23" i="2"/>
  <c r="M23" i="2"/>
  <c r="O23" i="2"/>
  <c r="C30" i="2"/>
  <c r="D30" i="2"/>
  <c r="M24" i="2"/>
  <c r="M17" i="2"/>
  <c r="O17" i="2"/>
  <c r="C17" i="2"/>
  <c r="O25" i="2"/>
  <c r="D23" i="2"/>
  <c r="F23" i="2"/>
  <c r="O24" i="2"/>
  <c r="D20" i="2"/>
  <c r="E20" i="2"/>
  <c r="F20" i="2" s="1"/>
  <c r="C29" i="2"/>
  <c r="D29" i="2"/>
  <c r="M20" i="2"/>
  <c r="O21" i="2"/>
  <c r="M16" i="2"/>
  <c r="M26" i="2" s="1"/>
  <c r="O16" i="2"/>
  <c r="C27" i="2"/>
  <c r="D27" i="2"/>
  <c r="N15" i="2"/>
  <c r="N14" i="2"/>
  <c r="N16" i="2"/>
  <c r="O15" i="2"/>
  <c r="E14" i="2"/>
  <c r="F14" i="2"/>
  <c r="C28" i="2"/>
  <c r="D28" i="2"/>
  <c r="D17" i="2"/>
  <c r="E17" i="2"/>
  <c r="N23" i="2"/>
  <c r="P23" i="2"/>
  <c r="N25" i="2"/>
  <c r="P25" i="2"/>
  <c r="N24" i="2"/>
  <c r="P24" i="2"/>
  <c r="N20" i="2"/>
  <c r="N22" i="2"/>
  <c r="P22" i="2"/>
  <c r="N21" i="2"/>
  <c r="P21" i="2"/>
  <c r="O20" i="2"/>
  <c r="P16" i="2"/>
  <c r="P14" i="2"/>
  <c r="P15" i="2"/>
  <c r="N18" i="2"/>
  <c r="P18" i="2"/>
  <c r="N17" i="2"/>
  <c r="N19" i="2"/>
  <c r="P19" i="2"/>
  <c r="F17" i="2"/>
  <c r="N26" i="2"/>
  <c r="O26" i="2"/>
  <c r="P20" i="2"/>
  <c r="P17" i="2"/>
  <c r="P26" i="2"/>
  <c r="E14" i="12"/>
  <c r="F14" i="12"/>
  <c r="C16" i="12"/>
  <c r="C15" i="12"/>
  <c r="L16" i="12"/>
  <c r="E15" i="12"/>
  <c r="E16" i="12"/>
  <c r="L17" i="12"/>
  <c r="K14" i="12" l="1"/>
  <c r="B10" i="13"/>
  <c r="B11" i="13" s="1"/>
  <c r="B12" i="13" s="1"/>
  <c r="B18" i="13"/>
  <c r="B17" i="13"/>
  <c r="M14" i="12"/>
  <c r="D15" i="12"/>
  <c r="D16" i="12"/>
  <c r="D17" i="12"/>
  <c r="L18" i="12"/>
  <c r="K17" i="12" l="1"/>
  <c r="M17" i="12" s="1"/>
  <c r="F17" i="12"/>
  <c r="K16" i="12"/>
  <c r="M16" i="12" s="1"/>
  <c r="F16" i="12"/>
  <c r="K15" i="12"/>
  <c r="F15" i="12"/>
  <c r="M15" i="12" l="1"/>
  <c r="M18" i="12" s="1"/>
  <c r="K18" i="12"/>
</calcChain>
</file>

<file path=xl/sharedStrings.xml><?xml version="1.0" encoding="utf-8"?>
<sst xmlns="http://schemas.openxmlformats.org/spreadsheetml/2006/main" count="92" uniqueCount="78">
  <si>
    <t>PROYECTOS/GRUPOS AÑO 2023   SUBIDA 2,5% + 1% CONTRATO INDEFINIDO</t>
  </si>
  <si>
    <t>INVESTIGADOR</t>
  </si>
  <si>
    <r>
      <t>COSTES</t>
    </r>
    <r>
      <rPr>
        <i/>
        <u/>
        <sz val="10"/>
        <rFont val="Arial"/>
        <family val="2"/>
      </rPr>
      <t xml:space="preserve"> </t>
    </r>
    <r>
      <rPr>
        <b/>
        <i/>
        <u/>
        <sz val="10"/>
        <rFont val="Arial"/>
        <family val="2"/>
      </rPr>
      <t xml:space="preserve">SEGÚN EL REGLAMENTO CONTRATACION DE PERSONAL INVESTIGADOR </t>
    </r>
  </si>
  <si>
    <t>CONTRATADO:</t>
  </si>
  <si>
    <t>CON CARGO A PROYECTOS Y GRUPOS INVESTIGACION</t>
  </si>
  <si>
    <t>CONTRATO</t>
  </si>
  <si>
    <t xml:space="preserve">DÍAS </t>
  </si>
  <si>
    <t>Días Naturales Nómina</t>
  </si>
  <si>
    <t>Dias Indemnización</t>
  </si>
  <si>
    <t>Fecha inicio contrato</t>
  </si>
  <si>
    <t>Dias naturales mes inicio</t>
  </si>
  <si>
    <t>Incremento salarial 2023 (PROVISIONAL APLICADO)</t>
  </si>
  <si>
    <t>Fecha fin contrato</t>
  </si>
  <si>
    <t>Días naturales mes fin</t>
  </si>
  <si>
    <t>Incremento salarial 2024 (estimación)</t>
  </si>
  <si>
    <t>Fecha inicio INDEMNIZACIÓN</t>
  </si>
  <si>
    <t>Incremento salarial 2025 (estimación)</t>
  </si>
  <si>
    <t>Fecha FIN INDEMNIZACIÓN</t>
  </si>
  <si>
    <t>Días indemnización contrato indefinido</t>
  </si>
  <si>
    <t>SALARIO MÁXIMO - PUEDE SER UN 1% MENOS SI NO SE CUMPLEN LOS HITOS ECONÓMICOS EN SEPTIEMBRE 2023</t>
  </si>
  <si>
    <t>Categoría TIEMPO COMPLETO</t>
  </si>
  <si>
    <t>Salario mes</t>
  </si>
  <si>
    <t>Salario año</t>
  </si>
  <si>
    <t>Indemn fin Ctro</t>
  </si>
  <si>
    <t>Seg.Social Empresa</t>
  </si>
  <si>
    <t>Coste Total</t>
  </si>
  <si>
    <t>AÑO</t>
  </si>
  <si>
    <t>%</t>
  </si>
  <si>
    <t>Días NATURALES mes inicio</t>
  </si>
  <si>
    <t>Otros  Meses        (nº meses)</t>
  </si>
  <si>
    <t>Días NATURALES mes fin</t>
  </si>
  <si>
    <t>Salario</t>
  </si>
  <si>
    <t>Indemn</t>
  </si>
  <si>
    <t>S Social</t>
  </si>
  <si>
    <t>TOTAL</t>
  </si>
  <si>
    <t>Ayudante Proyecto 2023</t>
  </si>
  <si>
    <t>Colaborador Proyecto 2023</t>
  </si>
  <si>
    <t>Colaborador Doctor Proyecto Tipo 1 2023</t>
  </si>
  <si>
    <t>Colaborador Doctor Proyecto Tipo 2 2023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</si>
  <si>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</si>
  <si>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</si>
  <si>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</si>
  <si>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</si>
  <si>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</si>
  <si>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</si>
  <si>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</si>
  <si>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</si>
  <si>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</si>
  <si>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</si>
  <si>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</si>
  <si>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</si>
  <si>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Dias 2022</t>
  </si>
  <si>
    <t>COSTES DE CONTRATACIÓN 2024, SEGÚN REGLAMENTO DE CONTRATACIÓN DE PERSONAL INVESTIGADOR DE LA UNIVERSIDAD PÚBLICA DE NAVARRA</t>
  </si>
  <si>
    <t>DATOS DEL CONTRATO</t>
  </si>
  <si>
    <t>Días de contrato</t>
  </si>
  <si>
    <t>*Días indemnización contrato indefinido</t>
  </si>
  <si>
    <t>Categoría</t>
  </si>
  <si>
    <t>% Dedicación</t>
  </si>
  <si>
    <t>Nº meses</t>
  </si>
  <si>
    <t>Ayudante Proyecto</t>
  </si>
  <si>
    <t>Colaborador Proyecto</t>
  </si>
  <si>
    <t xml:space="preserve">Colaborador Doctor Proyecto Tipo 1 </t>
  </si>
  <si>
    <t>Colaborador Doctor Proyecto Tipo 2</t>
  </si>
  <si>
    <t xml:space="preserve">En amarillo cálculos </t>
  </si>
  <si>
    <t xml:space="preserve">PRESUPUESTO DEL CONTRATO </t>
  </si>
  <si>
    <t>COSTES DIRECTOS</t>
  </si>
  <si>
    <t>Honorarios personal investigador</t>
  </si>
  <si>
    <t>Contratación de personal</t>
  </si>
  <si>
    <t>Viajes y dietas</t>
  </si>
  <si>
    <t>Material fungible</t>
  </si>
  <si>
    <t>TOTAL COSTES DIRECTOS</t>
  </si>
  <si>
    <t>COSTES INDIRECTOS(17%)</t>
  </si>
  <si>
    <t>TOTAL CONTRATO*</t>
  </si>
  <si>
    <t>TOTAL IVA INCLUIDO</t>
  </si>
  <si>
    <t>*esta cantidad se verá incrementadas con el correspondiente IVA vigente (21%)</t>
  </si>
  <si>
    <t>REPARTO DE COSTES INDIRECTOS</t>
  </si>
  <si>
    <t>Departamento (2%)</t>
  </si>
  <si>
    <t>Instituto - IMAB (5%)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</si>
</sst>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"/>
    <numFmt numFmtId="166" formatCode="#,##0.00\ &quot;€&quot;"/>
  </numFmts>
  <fonts count="30">
    <font>
      <sz val="10"/>
      <name val="Arial"/>
    </font>
    <font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u/>
      <sz val="10"/>
      <name val="Arial"/>
      <family val="2"/>
    </font>
    <font>
      <b/>
      <sz val="16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0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i/>
      <u/>
      <sz val="11"/>
      <name val="Calibri Light"/>
      <family val="2"/>
    </font>
    <font>
      <b/>
      <sz val="11"/>
      <name val="Calibri Light"/>
      <family val="2"/>
    </font>
    <font>
      <sz val="11"/>
      <color rgb="FFFF0000"/>
      <name val="Calibri Light"/>
      <family val="2"/>
    </font>
    <font>
      <sz val="11"/>
      <color rgb="FF0000FF"/>
      <name val="Calibri Light"/>
      <family val="2"/>
    </font>
    <font>
      <i/>
      <sz val="11"/>
      <name val="Calibri Light"/>
      <family val="2"/>
    </font>
    <font>
      <i/>
      <u/>
      <sz val="11"/>
      <name val="Calibri Light"/>
      <family val="2"/>
    </font>
    <font>
      <b/>
      <sz val="11"/>
      <color rgb="FFFF0000"/>
      <name val="Calibri Light"/>
      <family val="2"/>
    </font>
    <font>
      <sz val="11"/>
      <color rgb="FF0070C0"/>
      <name val="Calibri Light"/>
      <family val="2"/>
    </font>
    <font>
      <i/>
      <sz val="12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1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center"/>
    </xf>
    <xf numFmtId="9" fontId="13" fillId="0" borderId="3" xfId="3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4" fillId="0" borderId="0" xfId="0" applyFont="1" applyAlignment="1">
      <alignment horizontal="center"/>
    </xf>
    <xf numFmtId="4" fontId="14" fillId="0" borderId="1" xfId="0" applyNumberFormat="1" applyFont="1" applyBorder="1" applyAlignment="1">
      <alignment horizontal="left"/>
    </xf>
    <xf numFmtId="4" fontId="4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9" fontId="13" fillId="0" borderId="15" xfId="3" applyFont="1" applyBorder="1" applyAlignment="1">
      <alignment horizontal="center" vertical="center"/>
    </xf>
    <xf numFmtId="9" fontId="13" fillId="0" borderId="16" xfId="3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0" fontId="14" fillId="3" borderId="0" xfId="0" applyFont="1" applyFill="1" applyAlignment="1">
      <alignment horizontal="left"/>
    </xf>
    <xf numFmtId="0" fontId="7" fillId="0" borderId="17" xfId="0" applyFont="1" applyBorder="1" applyAlignment="1">
      <alignment horizontal="left"/>
    </xf>
    <xf numFmtId="0" fontId="4" fillId="2" borderId="18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/>
    </xf>
    <xf numFmtId="0" fontId="0" fillId="0" borderId="15" xfId="0" applyBorder="1" applyAlignment="1">
      <alignment horizontal="center"/>
    </xf>
    <xf numFmtId="1" fontId="11" fillId="0" borderId="16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4" fontId="4" fillId="0" borderId="3" xfId="3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" fontId="11" fillId="0" borderId="0" xfId="0" applyNumberFormat="1" applyFont="1" applyAlignment="1">
      <alignment horizontal="center"/>
    </xf>
    <xf numFmtId="4" fontId="14" fillId="0" borderId="2" xfId="0" applyNumberFormat="1" applyFont="1" applyBorder="1" applyAlignment="1">
      <alignment horizontal="left"/>
    </xf>
    <xf numFmtId="165" fontId="10" fillId="0" borderId="12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10" fillId="0" borderId="11" xfId="0" applyNumberFormat="1" applyFont="1" applyBorder="1" applyAlignment="1">
      <alignment horizontal="center"/>
    </xf>
    <xf numFmtId="4" fontId="10" fillId="0" borderId="13" xfId="0" applyNumberFormat="1" applyFont="1" applyBorder="1" applyAlignment="1">
      <alignment horizontal="center"/>
    </xf>
    <xf numFmtId="4" fontId="10" fillId="0" borderId="12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166" fontId="16" fillId="0" borderId="0" xfId="0" applyNumberFormat="1" applyFont="1"/>
    <xf numFmtId="166" fontId="18" fillId="0" borderId="0" xfId="0" applyNumberFormat="1" applyFont="1"/>
    <xf numFmtId="166" fontId="17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4" fontId="20" fillId="0" borderId="0" xfId="0" applyNumberFormat="1" applyFont="1" applyAlignment="1">
      <alignment horizontal="left"/>
    </xf>
    <xf numFmtId="4" fontId="22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1" xfId="0" applyFont="1" applyBorder="1" applyAlignment="1">
      <alignment horizontal="left"/>
    </xf>
    <xf numFmtId="14" fontId="20" fillId="4" borderId="1" xfId="0" applyNumberFormat="1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4" fontId="22" fillId="0" borderId="0" xfId="3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left"/>
    </xf>
    <xf numFmtId="0" fontId="23" fillId="0" borderId="0" xfId="0" applyFont="1" applyAlignment="1">
      <alignment horizontal="left"/>
    </xf>
    <xf numFmtId="4" fontId="20" fillId="0" borderId="0" xfId="3" applyNumberFormat="1" applyFont="1" applyBorder="1" applyAlignment="1">
      <alignment horizontal="center" vertical="center"/>
    </xf>
    <xf numFmtId="2" fontId="20" fillId="4" borderId="1" xfId="0" applyNumberFormat="1" applyFont="1" applyFill="1" applyBorder="1" applyAlignment="1">
      <alignment horizontal="center"/>
    </xf>
    <xf numFmtId="164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1" xfId="0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26" fillId="0" borderId="0" xfId="0" applyFont="1" applyAlignment="1">
      <alignment horizontal="left"/>
    </xf>
    <xf numFmtId="164" fontId="25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/>
    </xf>
    <xf numFmtId="4" fontId="27" fillId="0" borderId="0" xfId="0" applyNumberFormat="1" applyFont="1" applyAlignment="1">
      <alignment horizontal="left"/>
    </xf>
    <xf numFmtId="0" fontId="22" fillId="0" borderId="1" xfId="0" applyFont="1" applyBorder="1" applyAlignment="1">
      <alignment horizontal="center"/>
    </xf>
    <xf numFmtId="0" fontId="22" fillId="2" borderId="18" xfId="0" applyFont="1" applyFill="1" applyBorder="1" applyAlignment="1">
      <alignment horizontal="center"/>
    </xf>
    <xf numFmtId="0" fontId="22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22" fillId="0" borderId="1" xfId="0" applyFont="1" applyBorder="1" applyAlignment="1">
      <alignment vertical="center"/>
    </xf>
    <xf numFmtId="4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 vertical="center"/>
    </xf>
    <xf numFmtId="9" fontId="28" fillId="0" borderId="1" xfId="3" applyFont="1" applyBorder="1" applyAlignment="1">
      <alignment horizontal="center" vertical="center"/>
    </xf>
    <xf numFmtId="1" fontId="20" fillId="4" borderId="1" xfId="3" applyNumberFormat="1" applyFont="1" applyFill="1" applyBorder="1" applyAlignment="1">
      <alignment horizontal="center" vertical="center"/>
    </xf>
    <xf numFmtId="1" fontId="20" fillId="0" borderId="1" xfId="3" applyNumberFormat="1" applyFont="1" applyBorder="1" applyAlignment="1">
      <alignment horizontal="center" vertical="center"/>
    </xf>
    <xf numFmtId="4" fontId="20" fillId="0" borderId="1" xfId="3" applyNumberFormat="1" applyFont="1" applyBorder="1" applyAlignment="1">
      <alignment horizontal="center" vertical="center"/>
    </xf>
    <xf numFmtId="4" fontId="20" fillId="0" borderId="0" xfId="0" applyNumberFormat="1" applyFont="1"/>
    <xf numFmtId="4" fontId="22" fillId="0" borderId="7" xfId="0" applyNumberFormat="1" applyFont="1" applyBorder="1" applyAlignment="1">
      <alignment horizontal="center"/>
    </xf>
    <xf numFmtId="4" fontId="22" fillId="0" borderId="1" xfId="0" applyNumberFormat="1" applyFont="1" applyBorder="1" applyAlignment="1">
      <alignment horizontal="center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9" fillId="0" borderId="0" xfId="0" applyFont="1"/>
    <xf numFmtId="0" fontId="18" fillId="0" borderId="0" xfId="0" applyFont="1" applyAlignment="1">
      <alignment horizontal="right"/>
    </xf>
    <xf numFmtId="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0" borderId="15" xfId="3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4" fontId="1" fillId="0" borderId="16" xfId="3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4" fontId="1" fillId="0" borderId="0" xfId="3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3" xfId="3" applyNumberFormat="1" applyFont="1" applyBorder="1" applyAlignment="1">
      <alignment horizontal="center" vertical="center"/>
    </xf>
    <xf numFmtId="1" fontId="1" fillId="0" borderId="15" xfId="3" applyNumberFormat="1" applyFont="1" applyBorder="1" applyAlignment="1">
      <alignment horizontal="center" vertical="center"/>
    </xf>
    <xf numFmtId="4" fontId="1" fillId="0" borderId="11" xfId="3" applyNumberFormat="1" applyFont="1" applyBorder="1" applyAlignment="1">
      <alignment horizontal="center" vertical="center"/>
    </xf>
    <xf numFmtId="4" fontId="1" fillId="0" borderId="3" xfId="3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4" fontId="1" fillId="0" borderId="13" xfId="3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16" xfId="3" applyNumberFormat="1" applyFont="1" applyBorder="1" applyAlignment="1">
      <alignment horizontal="center" vertical="center"/>
    </xf>
    <xf numFmtId="4" fontId="1" fillId="0" borderId="12" xfId="3" applyNumberFormat="1" applyFont="1" applyBorder="1" applyAlignment="1">
      <alignment horizontal="center" vertical="center"/>
    </xf>
    <xf numFmtId="0" fontId="1" fillId="0" borderId="0" xfId="0" applyFont="1"/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/>
    </xf>
    <xf numFmtId="4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27" fillId="2" borderId="3" xfId="0" applyFont="1" applyFill="1" applyBorder="1" applyAlignment="1">
      <alignment horizontal="center"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2" borderId="3" xfId="0" applyFont="1" applyFill="1" applyBorder="1" applyAlignment="1">
      <alignment horizontal="left" vertical="center" wrapText="1"/>
    </xf>
    <xf numFmtId="0" fontId="22" fillId="2" borderId="16" xfId="0" applyFont="1" applyFill="1" applyBorder="1" applyAlignment="1">
      <alignment horizontal="left" vertical="center" wrapText="1"/>
    </xf>
    <xf numFmtId="4" fontId="22" fillId="0" borderId="7" xfId="0" applyNumberFormat="1" applyFont="1" applyBorder="1" applyAlignment="1">
      <alignment horizontal="left"/>
    </xf>
    <xf numFmtId="4" fontId="22" fillId="0" borderId="2" xfId="0" applyNumberFormat="1" applyFont="1" applyBorder="1" applyAlignment="1">
      <alignment horizontal="left"/>
    </xf>
  </cellXfs>
  <cellStyles count="4">
    <cellStyle name="Hipervínculo 2" xfId="1" xr:uid="{00000000-0005-0000-0000-000000000000}"/>
    <cellStyle name="Normal" xfId="0" builtinId="0"/>
    <cellStyle name="Normal 2" xfId="2" xr:uid="{00000000-0005-0000-0000-000002000000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9"/>
  <sheetViews>
    <sheetView zoomScale="93" zoomScaleNormal="93" workbookViewId="0">
      <selection activeCell="C39" sqref="C39"/>
    </sheetView>
  </sheetViews>
  <sheetFormatPr defaultColWidth="11.42578125" defaultRowHeight="12.75"/>
  <cols>
    <col min="1" max="1" width="52.42578125" customWidth="1"/>
    <col min="2" max="2" width="11" customWidth="1"/>
    <col min="3" max="3" width="11.5703125" style="1" bestFit="1" customWidth="1"/>
    <col min="4" max="4" width="11.5703125" style="1" customWidth="1"/>
    <col min="5" max="5" width="14.140625" style="1" customWidth="1"/>
    <col min="6" max="6" width="10.42578125" style="1" customWidth="1"/>
    <col min="7" max="7" width="15.5703125" style="1" customWidth="1"/>
    <col min="8" max="8" width="15.140625" customWidth="1"/>
    <col min="9" max="9" width="11.5703125" customWidth="1"/>
    <col min="10" max="10" width="10.42578125" customWidth="1"/>
    <col min="11" max="11" width="12.42578125" customWidth="1"/>
    <col min="12" max="12" width="19.5703125" customWidth="1"/>
    <col min="13" max="13" width="14.85546875" customWidth="1"/>
    <col min="14" max="14" width="14.5703125" customWidth="1"/>
    <col min="15" max="15" width="11.5703125" bestFit="1" customWidth="1"/>
    <col min="20" max="20" width="6" bestFit="1" customWidth="1"/>
  </cols>
  <sheetData>
    <row r="1" spans="1:16" ht="13.5" thickBot="1"/>
    <row r="2" spans="1:16" ht="21" thickBot="1">
      <c r="A2" s="28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5"/>
    </row>
    <row r="3" spans="1:16" s="4" customFormat="1">
      <c r="A3" s="2"/>
      <c r="B3" s="97"/>
      <c r="C3" s="3"/>
      <c r="D3" s="3"/>
      <c r="E3" s="3"/>
      <c r="F3" s="3"/>
      <c r="G3" s="3"/>
      <c r="H3" s="4" t="s">
        <v>1</v>
      </c>
      <c r="I3" s="27"/>
      <c r="J3" s="98"/>
    </row>
    <row r="4" spans="1:16" s="4" customFormat="1">
      <c r="A4" s="6" t="s">
        <v>2</v>
      </c>
      <c r="B4" s="97"/>
      <c r="C4" s="3"/>
      <c r="D4" s="3"/>
      <c r="E4" s="3"/>
      <c r="F4" s="3"/>
      <c r="G4" s="3"/>
      <c r="H4" s="98" t="s">
        <v>3</v>
      </c>
      <c r="I4" s="27"/>
      <c r="J4" s="17"/>
      <c r="K4" s="17"/>
      <c r="L4" s="17"/>
    </row>
    <row r="5" spans="1:16" s="4" customFormat="1">
      <c r="A5" s="6"/>
      <c r="B5" s="97"/>
      <c r="C5" s="3"/>
      <c r="D5" s="3"/>
      <c r="E5" s="3"/>
      <c r="F5" s="3"/>
      <c r="G5" s="3"/>
    </row>
    <row r="6" spans="1:16" s="4" customFormat="1">
      <c r="A6" s="2" t="s">
        <v>4</v>
      </c>
      <c r="B6" s="97"/>
      <c r="C6" s="3"/>
      <c r="D6" s="3"/>
      <c r="E6" s="3"/>
      <c r="F6" s="136" t="s">
        <v>5</v>
      </c>
      <c r="G6" s="137"/>
      <c r="H6" s="137"/>
      <c r="I6" s="132" t="s">
        <v>6</v>
      </c>
      <c r="J6" s="138"/>
      <c r="K6" s="133"/>
      <c r="L6" s="35" t="s">
        <v>7</v>
      </c>
      <c r="N6" s="36" t="s">
        <v>8</v>
      </c>
    </row>
    <row r="7" spans="1:16" s="4" customFormat="1">
      <c r="A7" s="2"/>
      <c r="B7" s="97"/>
      <c r="C7" s="3"/>
      <c r="D7" s="3"/>
      <c r="E7" s="3"/>
      <c r="F7" s="16" t="s">
        <v>9</v>
      </c>
      <c r="G7" s="16"/>
      <c r="H7" s="99"/>
      <c r="I7" s="139" t="s">
        <v>10</v>
      </c>
      <c r="J7" s="139"/>
      <c r="K7" s="100">
        <v>31</v>
      </c>
      <c r="L7" s="33"/>
      <c r="N7" s="101"/>
    </row>
    <row r="8" spans="1:16" s="11" customFormat="1">
      <c r="A8" s="10" t="s">
        <v>11</v>
      </c>
      <c r="B8" s="42">
        <v>1.0249999999999999</v>
      </c>
      <c r="C8" s="43">
        <v>1.01</v>
      </c>
      <c r="D8" s="3"/>
      <c r="E8" s="102"/>
      <c r="F8" s="18" t="s">
        <v>12</v>
      </c>
      <c r="G8" s="18"/>
      <c r="H8" s="99"/>
      <c r="I8" s="139" t="s">
        <v>13</v>
      </c>
      <c r="J8" s="139"/>
      <c r="K8" s="100">
        <v>31</v>
      </c>
      <c r="L8" s="34">
        <f>+H10-H9</f>
        <v>0</v>
      </c>
      <c r="M8" s="37">
        <f>DAYS360(H9,H10,FALSE)</f>
        <v>0</v>
      </c>
      <c r="N8" s="103">
        <f>IF(DAY(H10)=31,M8,(M8+1))</f>
        <v>1</v>
      </c>
      <c r="O8" s="98"/>
      <c r="P8" s="98"/>
    </row>
    <row r="9" spans="1:16" s="11" customFormat="1">
      <c r="A9" s="10" t="s">
        <v>14</v>
      </c>
      <c r="B9" s="32"/>
      <c r="C9" s="3">
        <f>1.01*1.02</f>
        <v>1.03</v>
      </c>
      <c r="D9" s="3"/>
      <c r="E9" s="102"/>
      <c r="F9" s="16" t="s">
        <v>15</v>
      </c>
      <c r="G9" s="40"/>
      <c r="H9" s="99"/>
      <c r="I9" s="38"/>
      <c r="J9" s="38"/>
      <c r="K9" s="104"/>
      <c r="L9" s="39"/>
      <c r="M9" s="37"/>
      <c r="N9" s="105"/>
      <c r="O9" s="98"/>
      <c r="P9" s="98"/>
    </row>
    <row r="10" spans="1:16" s="11" customFormat="1">
      <c r="A10" s="10" t="s">
        <v>16</v>
      </c>
      <c r="B10" s="32"/>
      <c r="C10" s="3">
        <f>1.01*1.02*1.02</f>
        <v>1.05</v>
      </c>
      <c r="D10" s="3"/>
      <c r="E10" s="102"/>
      <c r="F10" s="16" t="s">
        <v>17</v>
      </c>
      <c r="G10" s="40"/>
      <c r="H10" s="99"/>
      <c r="I10" s="38"/>
      <c r="J10" s="38"/>
      <c r="K10" s="104"/>
      <c r="L10" s="39"/>
      <c r="M10" s="37"/>
      <c r="N10" s="105"/>
      <c r="O10" s="98"/>
      <c r="P10" s="98"/>
    </row>
    <row r="11" spans="1:16" s="4" customFormat="1">
      <c r="A11" s="98" t="s">
        <v>18</v>
      </c>
      <c r="B11" s="106">
        <v>20</v>
      </c>
      <c r="C11" s="47" t="s">
        <v>19</v>
      </c>
      <c r="D11" s="3"/>
      <c r="E11" s="3"/>
      <c r="F11" s="3"/>
      <c r="G11" s="3"/>
    </row>
    <row r="12" spans="1:16" ht="23.45" customHeight="1">
      <c r="A12" s="30" t="s">
        <v>20</v>
      </c>
      <c r="B12" s="134" t="s">
        <v>21</v>
      </c>
      <c r="C12" s="134" t="s">
        <v>22</v>
      </c>
      <c r="D12" s="134" t="s">
        <v>23</v>
      </c>
      <c r="E12" s="134" t="s">
        <v>24</v>
      </c>
      <c r="F12" s="134" t="s">
        <v>25</v>
      </c>
      <c r="G12" s="134" t="s">
        <v>26</v>
      </c>
      <c r="H12" s="134" t="s">
        <v>27</v>
      </c>
      <c r="I12" s="130" t="s">
        <v>28</v>
      </c>
      <c r="J12" s="130" t="s">
        <v>29</v>
      </c>
      <c r="K12" s="130" t="s">
        <v>30</v>
      </c>
      <c r="L12" s="130" t="s">
        <v>8</v>
      </c>
      <c r="M12" s="132">
        <v>13108</v>
      </c>
      <c r="N12" s="133"/>
      <c r="O12" s="7">
        <v>16000</v>
      </c>
    </row>
    <row r="13" spans="1:16" ht="26.45" customHeight="1">
      <c r="A13" s="31"/>
      <c r="B13" s="135"/>
      <c r="C13" s="135"/>
      <c r="D13" s="135"/>
      <c r="E13" s="135"/>
      <c r="F13" s="135"/>
      <c r="G13" s="135"/>
      <c r="H13" s="135"/>
      <c r="I13" s="131"/>
      <c r="J13" s="131"/>
      <c r="K13" s="131"/>
      <c r="L13" s="131"/>
      <c r="M13" s="29" t="s">
        <v>31</v>
      </c>
      <c r="N13" s="9" t="s">
        <v>32</v>
      </c>
      <c r="O13" s="8" t="s">
        <v>33</v>
      </c>
      <c r="P13" s="8" t="s">
        <v>34</v>
      </c>
    </row>
    <row r="14" spans="1:16">
      <c r="A14" s="20" t="s">
        <v>35</v>
      </c>
      <c r="B14" s="44">
        <f>1605.212*C8</f>
        <v>1621.26</v>
      </c>
      <c r="C14" s="107">
        <f>B14*12</f>
        <v>19455.12</v>
      </c>
      <c r="D14" s="108">
        <f>C14/365*$B$11</f>
        <v>1066.03</v>
      </c>
      <c r="E14" s="109">
        <f>C14*0.319</f>
        <v>6206.18</v>
      </c>
      <c r="F14" s="109">
        <f>C14+D14+E14</f>
        <v>26727.33</v>
      </c>
      <c r="G14" s="110">
        <v>2023</v>
      </c>
      <c r="H14" s="24">
        <v>1</v>
      </c>
      <c r="I14" s="111"/>
      <c r="J14" s="111"/>
      <c r="K14" s="111"/>
      <c r="L14" s="112" t="str">
        <f t="shared" ref="L14:L25" si="0">IF((I14+J14+K14)&gt;0,($N$8),"0")</f>
        <v>0</v>
      </c>
      <c r="M14" s="113">
        <f>(($B$14/$K$7)*$I14*$H14)+($B$14*$J14*$H14)+(($B$14/$K$8)*$K14*$H14)</f>
        <v>0</v>
      </c>
      <c r="N14" s="101">
        <f>($D$14/360)*(L14)*$H14</f>
        <v>0</v>
      </c>
      <c r="O14" s="114">
        <f t="shared" ref="O14:O25" si="1">M14*0.326</f>
        <v>0</v>
      </c>
      <c r="P14" s="114">
        <f>SUM(M14:O14)</f>
        <v>0</v>
      </c>
    </row>
    <row r="15" spans="1:16">
      <c r="A15" s="23"/>
      <c r="B15" s="45"/>
      <c r="C15" s="115"/>
      <c r="D15" s="116"/>
      <c r="E15" s="117"/>
      <c r="F15" s="117"/>
      <c r="G15" s="118">
        <v>2024</v>
      </c>
      <c r="H15" s="24">
        <v>1</v>
      </c>
      <c r="I15" s="112"/>
      <c r="J15" s="112"/>
      <c r="K15" s="112"/>
      <c r="L15" s="112" t="str">
        <f t="shared" si="0"/>
        <v>0</v>
      </c>
      <c r="M15" s="119">
        <f>(($B$14/$K$7)*$I15*$H15)+($B$14*$J15*$H15)+(($B$14/$K$8)*$K15*$H15)</f>
        <v>0</v>
      </c>
      <c r="N15" s="101">
        <f>($D$14/360)*(L15)*$H15</f>
        <v>0</v>
      </c>
      <c r="O15" s="101">
        <f t="shared" si="1"/>
        <v>0</v>
      </c>
      <c r="P15" s="101">
        <f>SUM(M15:O15)</f>
        <v>0</v>
      </c>
    </row>
    <row r="16" spans="1:16">
      <c r="A16" s="22"/>
      <c r="B16" s="46"/>
      <c r="C16" s="120"/>
      <c r="D16" s="121"/>
      <c r="E16" s="122"/>
      <c r="F16" s="122"/>
      <c r="G16" s="123">
        <v>2025</v>
      </c>
      <c r="H16" s="24">
        <v>1</v>
      </c>
      <c r="I16" s="124"/>
      <c r="J16" s="124"/>
      <c r="K16" s="124"/>
      <c r="L16" s="124" t="str">
        <f t="shared" si="0"/>
        <v>0</v>
      </c>
      <c r="M16" s="125">
        <f>(($B$14/$K$7)*$I16*$H16)+($B$14*$J16*$H16)+(($B$14/$K$8)*$K16*$H16)</f>
        <v>0</v>
      </c>
      <c r="N16" s="125">
        <f>($D$14/360)*(L16)*$H16</f>
        <v>0</v>
      </c>
      <c r="O16" s="103">
        <f t="shared" si="1"/>
        <v>0</v>
      </c>
      <c r="P16" s="103">
        <f>SUM(M16:O16)</f>
        <v>0</v>
      </c>
    </row>
    <row r="17" spans="1:17">
      <c r="A17" s="20" t="s">
        <v>36</v>
      </c>
      <c r="B17" s="44">
        <f>1952.441*C8</f>
        <v>1971.97</v>
      </c>
      <c r="C17" s="107">
        <f>B17*12</f>
        <v>23663.64</v>
      </c>
      <c r="D17" s="108">
        <f>C17/365*$B$11</f>
        <v>1296.6400000000001</v>
      </c>
      <c r="E17" s="109">
        <f>C17*0.319</f>
        <v>7548.7</v>
      </c>
      <c r="F17" s="109">
        <f>C17+D17+E17</f>
        <v>32508.98</v>
      </c>
      <c r="G17" s="110">
        <v>2023</v>
      </c>
      <c r="H17" s="13">
        <v>1</v>
      </c>
      <c r="I17" s="111"/>
      <c r="J17" s="111"/>
      <c r="K17" s="111"/>
      <c r="L17" s="111" t="str">
        <f t="shared" si="0"/>
        <v>0</v>
      </c>
      <c r="M17" s="113">
        <f>(($B$17/$K$7)*$I17*$H17)+($B$17*$J17*$H17)+(($B$17/$K$8)*$K17*$H17)</f>
        <v>0</v>
      </c>
      <c r="N17" s="113">
        <f>($D$17/360)*(L17)*$H17</f>
        <v>0</v>
      </c>
      <c r="O17" s="114">
        <f t="shared" si="1"/>
        <v>0</v>
      </c>
      <c r="P17" s="114">
        <f>SUM(M17:O17)</f>
        <v>0</v>
      </c>
      <c r="Q17" s="5"/>
    </row>
    <row r="18" spans="1:17">
      <c r="A18" s="23"/>
      <c r="B18" s="45"/>
      <c r="C18" s="115"/>
      <c r="D18" s="116"/>
      <c r="E18" s="117"/>
      <c r="F18" s="117"/>
      <c r="G18" s="118">
        <v>2024</v>
      </c>
      <c r="H18" s="24">
        <v>1</v>
      </c>
      <c r="I18" s="112"/>
      <c r="J18" s="112"/>
      <c r="K18" s="112"/>
      <c r="L18" s="112" t="str">
        <f t="shared" si="0"/>
        <v>0</v>
      </c>
      <c r="M18" s="119">
        <f>(($B$17/$K$7)*$I18*$H18)+($B$17*$J18*$H18)+(($B$17/$K$8)*$K18*$H18)</f>
        <v>0</v>
      </c>
      <c r="N18" s="119">
        <f>($D$17/360)*(L18)*$H18</f>
        <v>0</v>
      </c>
      <c r="O18" s="101">
        <f t="shared" si="1"/>
        <v>0</v>
      </c>
      <c r="P18" s="101">
        <f t="shared" ref="P18:P25" si="2">SUM(M18:O18)</f>
        <v>0</v>
      </c>
      <c r="Q18" s="5"/>
    </row>
    <row r="19" spans="1:17">
      <c r="A19" s="22"/>
      <c r="B19" s="46"/>
      <c r="C19" s="120"/>
      <c r="D19" s="121"/>
      <c r="E19" s="122"/>
      <c r="F19" s="122"/>
      <c r="G19" s="123">
        <v>2025</v>
      </c>
      <c r="H19" s="25">
        <v>1</v>
      </c>
      <c r="I19" s="124"/>
      <c r="J19" s="124"/>
      <c r="K19" s="124"/>
      <c r="L19" s="124" t="str">
        <f t="shared" si="0"/>
        <v>0</v>
      </c>
      <c r="M19" s="125">
        <f>(($B$17/$K$7)*$I19*$H19)+($B$17*$J19*$H19)+(($B$17/$K$8)*$K19*$H19)</f>
        <v>0</v>
      </c>
      <c r="N19" s="125">
        <f>($D$17/360)*(L19)*$H19</f>
        <v>0</v>
      </c>
      <c r="O19" s="103">
        <f t="shared" si="1"/>
        <v>0</v>
      </c>
      <c r="P19" s="103">
        <f t="shared" si="2"/>
        <v>0</v>
      </c>
    </row>
    <row r="20" spans="1:17">
      <c r="A20" s="20" t="s">
        <v>37</v>
      </c>
      <c r="B20" s="44">
        <f>2268.817*C8</f>
        <v>2291.5100000000002</v>
      </c>
      <c r="C20" s="107">
        <f>B20*12</f>
        <v>27498.12</v>
      </c>
      <c r="D20" s="108">
        <f>C20/365*$B$11</f>
        <v>1506.75</v>
      </c>
      <c r="E20" s="109">
        <f>C20*0.319</f>
        <v>8771.9</v>
      </c>
      <c r="F20" s="109">
        <f>C20+D20+E20</f>
        <v>37776.769999999997</v>
      </c>
      <c r="G20" s="110">
        <v>2023</v>
      </c>
      <c r="H20" s="13">
        <v>1</v>
      </c>
      <c r="I20" s="111"/>
      <c r="J20" s="111"/>
      <c r="K20" s="111"/>
      <c r="L20" s="112" t="str">
        <f t="shared" si="0"/>
        <v>0</v>
      </c>
      <c r="M20" s="113">
        <f>(($B$20/$K$7)*$I20*$H20)+($B$20*$J20*$H20)+(($B$20/$K$8)*$K20*$H20)</f>
        <v>0</v>
      </c>
      <c r="N20" s="113">
        <f>($D$20/360)*(L20)*$H20</f>
        <v>0</v>
      </c>
      <c r="O20" s="114">
        <f t="shared" si="1"/>
        <v>0</v>
      </c>
      <c r="P20" s="114">
        <f t="shared" si="2"/>
        <v>0</v>
      </c>
    </row>
    <row r="21" spans="1:17">
      <c r="A21" s="23"/>
      <c r="B21" s="45"/>
      <c r="C21" s="115"/>
      <c r="D21" s="116"/>
      <c r="E21" s="117"/>
      <c r="F21" s="117"/>
      <c r="G21" s="118">
        <v>2024</v>
      </c>
      <c r="H21" s="24">
        <v>1</v>
      </c>
      <c r="I21" s="112"/>
      <c r="J21" s="112"/>
      <c r="K21" s="112"/>
      <c r="L21" s="112" t="str">
        <f t="shared" si="0"/>
        <v>0</v>
      </c>
      <c r="M21" s="119">
        <f>(($B$20/$K$7)*$I21*$H21)+($B$20*$J21*$H21)+(($B$20/$K$8)*$K21*$H21)</f>
        <v>0</v>
      </c>
      <c r="N21" s="119">
        <f>($D$20/360)*(L21)*$H21</f>
        <v>0</v>
      </c>
      <c r="O21" s="101">
        <f t="shared" si="1"/>
        <v>0</v>
      </c>
      <c r="P21" s="101">
        <f t="shared" si="2"/>
        <v>0</v>
      </c>
    </row>
    <row r="22" spans="1:17">
      <c r="A22" s="22"/>
      <c r="B22" s="46"/>
      <c r="C22" s="120"/>
      <c r="D22" s="121"/>
      <c r="E22" s="122"/>
      <c r="F22" s="122"/>
      <c r="G22" s="123">
        <v>2025</v>
      </c>
      <c r="H22" s="25">
        <v>1</v>
      </c>
      <c r="I22" s="124"/>
      <c r="J22" s="124"/>
      <c r="K22" s="124"/>
      <c r="L22" s="112" t="str">
        <f t="shared" si="0"/>
        <v>0</v>
      </c>
      <c r="M22" s="125">
        <f>(($B$20/$K$7)*$I22*$H22)+($B$20*$J22*$H22)+(($B$20/$K$8)*$K22*$H22)</f>
        <v>0</v>
      </c>
      <c r="N22" s="125">
        <f>($D$20/360)*(L22)*$H22</f>
        <v>0</v>
      </c>
      <c r="O22" s="103">
        <f t="shared" si="1"/>
        <v>0</v>
      </c>
      <c r="P22" s="103">
        <f t="shared" si="2"/>
        <v>0</v>
      </c>
    </row>
    <row r="23" spans="1:17">
      <c r="A23" s="21" t="s">
        <v>38</v>
      </c>
      <c r="B23" s="44">
        <f>3057.596*C8</f>
        <v>3088.17</v>
      </c>
      <c r="C23" s="107">
        <f>B23*12</f>
        <v>37058.04</v>
      </c>
      <c r="D23" s="108">
        <f>C23/365*$B$11</f>
        <v>2030.58</v>
      </c>
      <c r="E23" s="109">
        <f>C23*0.319</f>
        <v>11821.51</v>
      </c>
      <c r="F23" s="109">
        <f>C23+D23+E23</f>
        <v>50910.13</v>
      </c>
      <c r="G23" s="110">
        <v>2023</v>
      </c>
      <c r="H23" s="13">
        <v>1</v>
      </c>
      <c r="I23" s="111"/>
      <c r="J23" s="111"/>
      <c r="K23" s="111"/>
      <c r="L23" s="111" t="str">
        <f t="shared" si="0"/>
        <v>0</v>
      </c>
      <c r="M23" s="119">
        <f>(($B$23/$K$7)*$I23*$H23)+($B$23*$J23*$H23)+(($B$23/$K$8)*$K23*$H23)</f>
        <v>0</v>
      </c>
      <c r="N23" s="119">
        <f>($D$23/360)*(L23)*$H23</f>
        <v>0</v>
      </c>
      <c r="O23" s="114">
        <f t="shared" si="1"/>
        <v>0</v>
      </c>
      <c r="P23" s="114">
        <f t="shared" si="2"/>
        <v>0</v>
      </c>
      <c r="Q23" s="5"/>
    </row>
    <row r="24" spans="1:17">
      <c r="A24" s="23"/>
      <c r="B24" s="45"/>
      <c r="C24" s="115"/>
      <c r="D24" s="116"/>
      <c r="E24" s="117"/>
      <c r="F24" s="117"/>
      <c r="G24" s="118">
        <v>2024</v>
      </c>
      <c r="H24" s="24">
        <v>1</v>
      </c>
      <c r="I24" s="112"/>
      <c r="J24" s="112"/>
      <c r="K24" s="112"/>
      <c r="L24" s="112" t="str">
        <f t="shared" si="0"/>
        <v>0</v>
      </c>
      <c r="M24" s="119">
        <f>(($B$23/$K$7)*$I24*$H24)+($B$23*$J24*$H24)+(($B$23/$K$8)*$K24*$H24)</f>
        <v>0</v>
      </c>
      <c r="N24" s="119">
        <f>($D$23/360)*(L24)*$H24</f>
        <v>0</v>
      </c>
      <c r="O24" s="101">
        <f t="shared" si="1"/>
        <v>0</v>
      </c>
      <c r="P24" s="101">
        <f t="shared" si="2"/>
        <v>0</v>
      </c>
    </row>
    <row r="25" spans="1:17">
      <c r="A25" s="22"/>
      <c r="B25" s="41"/>
      <c r="C25" s="120"/>
      <c r="D25" s="121"/>
      <c r="E25" s="122"/>
      <c r="F25" s="122"/>
      <c r="G25" s="123">
        <v>2025</v>
      </c>
      <c r="H25" s="25">
        <v>1</v>
      </c>
      <c r="I25" s="124"/>
      <c r="J25" s="124"/>
      <c r="K25" s="124"/>
      <c r="L25" s="124" t="str">
        <f t="shared" si="0"/>
        <v>0</v>
      </c>
      <c r="M25" s="125">
        <f>(($B$23/$K$7)*$I25*$H25)+($B$23*$J25*$H25)+(($B$23/$K$8)*$K25*$H25)</f>
        <v>0</v>
      </c>
      <c r="N25" s="125">
        <f>($D$23/360)*(L25)*$H25</f>
        <v>0</v>
      </c>
      <c r="O25" s="103">
        <f t="shared" si="1"/>
        <v>0</v>
      </c>
      <c r="P25" s="103">
        <f t="shared" si="2"/>
        <v>0</v>
      </c>
    </row>
    <row r="26" spans="1:17">
      <c r="A26" s="126"/>
      <c r="B26" s="5"/>
      <c r="C26" s="3"/>
      <c r="D26" s="3"/>
      <c r="E26" s="3"/>
      <c r="F26" s="3"/>
      <c r="G26" s="127"/>
      <c r="M26" s="19">
        <f>SUM(M14:M25)</f>
        <v>0</v>
      </c>
      <c r="N26" s="19">
        <f>SUM(N14:N25)</f>
        <v>0</v>
      </c>
      <c r="O26" s="26">
        <f>SUM(O14:O25)</f>
        <v>0</v>
      </c>
      <c r="P26" s="26">
        <f>SUM(P14:P25)</f>
        <v>0</v>
      </c>
      <c r="Q26" s="5"/>
    </row>
    <row r="27" spans="1:17">
      <c r="A27" s="126"/>
      <c r="B27" s="126"/>
      <c r="C27" s="128">
        <f>C14/14</f>
        <v>1389.65</v>
      </c>
      <c r="D27" s="128">
        <f>C27/6</f>
        <v>231.61</v>
      </c>
      <c r="E27" s="126"/>
      <c r="Q27" s="5"/>
    </row>
    <row r="28" spans="1:17">
      <c r="A28" s="126"/>
      <c r="B28" s="126"/>
      <c r="C28" s="128">
        <f>C17/14</f>
        <v>1690.26</v>
      </c>
      <c r="D28" s="128">
        <f>C28/6</f>
        <v>281.70999999999998</v>
      </c>
      <c r="E28" s="126"/>
      <c r="F28" s="97"/>
      <c r="G28"/>
      <c r="Q28" s="3"/>
    </row>
    <row r="29" spans="1:17">
      <c r="A29" s="126"/>
      <c r="B29" s="126"/>
      <c r="C29" s="128">
        <f>C20/14</f>
        <v>1964.15</v>
      </c>
      <c r="D29" s="128">
        <f>C29/6</f>
        <v>327.36</v>
      </c>
      <c r="E29" s="126"/>
      <c r="F29" s="97"/>
      <c r="G29"/>
    </row>
    <row r="30" spans="1:17">
      <c r="A30" s="126"/>
      <c r="B30" s="126"/>
      <c r="C30" s="128">
        <f>C23/14</f>
        <v>2647</v>
      </c>
      <c r="D30" s="128">
        <f>C30/6</f>
        <v>441.17</v>
      </c>
      <c r="E30" s="126"/>
      <c r="F30" s="97"/>
      <c r="G30"/>
    </row>
    <row r="31" spans="1:17">
      <c r="A31" s="126"/>
      <c r="B31" s="126"/>
      <c r="C31" s="126"/>
      <c r="D31" s="126"/>
      <c r="E31" s="126"/>
      <c r="F31" s="97"/>
      <c r="G31"/>
    </row>
    <row r="32" spans="1:17">
      <c r="A32" s="126"/>
      <c r="B32" s="7" t="s">
        <v>39</v>
      </c>
      <c r="C32" s="7" t="s">
        <v>40</v>
      </c>
      <c r="D32" s="7" t="s">
        <v>41</v>
      </c>
      <c r="E32" s="7" t="s">
        <v>42</v>
      </c>
      <c r="F32" s="7" t="s">
        <v>43</v>
      </c>
      <c r="G32" s="7" t="s">
        <v>44</v>
      </c>
      <c r="H32" s="7" t="s">
        <v>45</v>
      </c>
      <c r="I32" s="7" t="s">
        <v>46</v>
      </c>
      <c r="J32" s="7" t="s">
        <v>47</v>
      </c>
      <c r="K32" s="7" t="s">
        <v>48</v>
      </c>
      <c r="L32" s="7" t="s">
        <v>49</v>
      </c>
      <c r="M32" s="7" t="s">
        <v>50</v>
      </c>
      <c r="N32" s="7" t="s">
        <v>34</v>
      </c>
    </row>
    <row r="33" spans="1:14">
      <c r="A33" s="7" t="s">
        <v>51</v>
      </c>
      <c r="B33" s="129">
        <v>31</v>
      </c>
      <c r="C33" s="129">
        <v>28</v>
      </c>
      <c r="D33" s="129">
        <v>31</v>
      </c>
      <c r="E33" s="129">
        <v>30</v>
      </c>
      <c r="F33" s="129">
        <v>31</v>
      </c>
      <c r="G33" s="129">
        <v>30</v>
      </c>
      <c r="H33" s="129">
        <v>31</v>
      </c>
      <c r="I33" s="129">
        <v>31</v>
      </c>
      <c r="J33" s="129">
        <v>30</v>
      </c>
      <c r="K33" s="129">
        <v>31</v>
      </c>
      <c r="L33" s="129">
        <v>30</v>
      </c>
      <c r="M33" s="129">
        <v>31</v>
      </c>
      <c r="N33" s="12">
        <f>SUM(B33:M33)</f>
        <v>365</v>
      </c>
    </row>
    <row r="34" spans="1:14">
      <c r="A34" s="126"/>
      <c r="B34" s="126"/>
      <c r="C34" s="126"/>
      <c r="D34" s="126"/>
      <c r="E34" s="126"/>
      <c r="F34" s="97"/>
      <c r="G34"/>
    </row>
    <row r="35" spans="1:14">
      <c r="A35" s="126"/>
      <c r="B35" s="126"/>
      <c r="C35" s="126"/>
      <c r="D35" s="126"/>
      <c r="E35" s="126"/>
      <c r="F35" s="97"/>
      <c r="G35"/>
    </row>
    <row r="36" spans="1:14">
      <c r="A36" s="126"/>
      <c r="B36" s="126"/>
      <c r="C36" s="126"/>
      <c r="D36" s="126"/>
      <c r="E36" s="126"/>
      <c r="F36" s="97"/>
      <c r="G36"/>
    </row>
    <row r="37" spans="1:14">
      <c r="A37" s="126"/>
      <c r="B37" s="126"/>
      <c r="C37" s="126"/>
      <c r="D37" s="126"/>
      <c r="E37" s="126"/>
      <c r="F37" s="97"/>
      <c r="G37"/>
    </row>
    <row r="38" spans="1:14">
      <c r="A38" s="126"/>
      <c r="B38" s="126"/>
      <c r="C38" s="126"/>
      <c r="D38" s="126"/>
      <c r="E38" s="126"/>
      <c r="F38" s="97"/>
      <c r="G38"/>
    </row>
    <row r="39" spans="1:14">
      <c r="A39" s="126"/>
      <c r="B39" s="126"/>
      <c r="C39" s="126"/>
      <c r="D39" s="126"/>
      <c r="E39" s="126"/>
      <c r="F39" s="97"/>
      <c r="G39"/>
    </row>
  </sheetData>
  <mergeCells count="16">
    <mergeCell ref="F6:H6"/>
    <mergeCell ref="I6:K6"/>
    <mergeCell ref="I7:J7"/>
    <mergeCell ref="I8:J8"/>
    <mergeCell ref="J12:J13"/>
    <mergeCell ref="K12:K13"/>
    <mergeCell ref="L12:L13"/>
    <mergeCell ref="M12:N12"/>
    <mergeCell ref="B12:B13"/>
    <mergeCell ref="C12:C13"/>
    <mergeCell ref="D12:D13"/>
    <mergeCell ref="E12:E13"/>
    <mergeCell ref="F12:F13"/>
    <mergeCell ref="G12:G13"/>
    <mergeCell ref="H12:H13"/>
    <mergeCell ref="I12:I13"/>
  </mergeCells>
  <phoneticPr fontId="0" type="noConversion"/>
  <pageMargins left="0.19685039370078741" right="0.19685039370078741" top="0.19685039370078741" bottom="0.19685039370078741" header="0" footer="0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0"/>
  <sheetViews>
    <sheetView zoomScale="106" zoomScaleNormal="106" workbookViewId="0">
      <selection activeCell="C31" sqref="C31"/>
    </sheetView>
  </sheetViews>
  <sheetFormatPr defaultColWidth="10.85546875" defaultRowHeight="15.75"/>
  <cols>
    <col min="1" max="1" width="52.42578125" style="48" customWidth="1"/>
    <col min="2" max="2" width="12.85546875" style="48" bestFit="1" customWidth="1"/>
    <col min="3" max="3" width="11.7109375" style="49" bestFit="1" customWidth="1"/>
    <col min="4" max="4" width="11.5703125" style="49" customWidth="1"/>
    <col min="5" max="5" width="14.140625" style="49" customWidth="1"/>
    <col min="6" max="6" width="12.140625" style="49" customWidth="1"/>
    <col min="7" max="7" width="15" style="48" customWidth="1"/>
    <col min="8" max="8" width="12.85546875" style="48" customWidth="1"/>
    <col min="9" max="9" width="18.140625" style="48" customWidth="1"/>
    <col min="10" max="10" width="11.5703125" style="48" bestFit="1" customWidth="1"/>
    <col min="11" max="11" width="10.42578125" style="48" bestFit="1" customWidth="1"/>
    <col min="12" max="12" width="11.85546875" style="48" bestFit="1" customWidth="1"/>
    <col min="13" max="13" width="11.7109375" style="48" bestFit="1" customWidth="1"/>
    <col min="14" max="14" width="11.140625" style="48" bestFit="1" customWidth="1"/>
    <col min="15" max="16" width="10.85546875" style="48"/>
    <col min="17" max="17" width="6" style="48" bestFit="1" customWidth="1"/>
    <col min="18" max="16384" width="10.85546875" style="48"/>
  </cols>
  <sheetData>
    <row r="1" spans="1:14" s="55" customFormat="1" ht="15" customHeight="1" thickBot="1">
      <c r="C1" s="56"/>
      <c r="D1" s="56"/>
      <c r="E1" s="56"/>
      <c r="F1" s="56"/>
    </row>
    <row r="2" spans="1:14" s="55" customFormat="1" ht="30" customHeight="1" thickBot="1">
      <c r="A2" s="142" t="s">
        <v>52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4"/>
    </row>
    <row r="3" spans="1:14" s="60" customFormat="1" ht="15" customHeight="1">
      <c r="A3" s="57"/>
      <c r="B3" s="58"/>
      <c r="C3" s="59"/>
      <c r="D3" s="59"/>
      <c r="E3" s="59"/>
      <c r="F3" s="59"/>
    </row>
    <row r="4" spans="1:14" s="60" customFormat="1" ht="15" customHeight="1">
      <c r="A4" s="59"/>
      <c r="B4" s="59"/>
      <c r="D4" s="59"/>
      <c r="E4" s="59"/>
      <c r="F4" s="59"/>
      <c r="H4" s="61"/>
      <c r="I4" s="61"/>
    </row>
    <row r="5" spans="1:14" s="60" customFormat="1" ht="15" customHeight="1">
      <c r="A5" s="151" t="s">
        <v>53</v>
      </c>
      <c r="B5" s="152"/>
      <c r="C5" s="59"/>
      <c r="D5" s="59"/>
      <c r="E5" s="59"/>
    </row>
    <row r="6" spans="1:14" s="60" customFormat="1" ht="15" customHeight="1">
      <c r="A6" s="62" t="s">
        <v>9</v>
      </c>
      <c r="B6" s="63">
        <v>45383</v>
      </c>
      <c r="C6" s="59"/>
      <c r="D6" s="59"/>
      <c r="G6" s="64"/>
      <c r="H6" s="64"/>
      <c r="I6" s="65"/>
    </row>
    <row r="7" spans="1:14" s="60" customFormat="1" ht="15" customHeight="1">
      <c r="A7" s="66" t="s">
        <v>12</v>
      </c>
      <c r="B7" s="63">
        <v>45657</v>
      </c>
      <c r="C7" s="59"/>
      <c r="D7" s="59"/>
      <c r="G7" s="67"/>
      <c r="H7" s="56"/>
      <c r="J7" s="68"/>
    </row>
    <row r="8" spans="1:14" s="60" customFormat="1" ht="15" customHeight="1">
      <c r="A8" s="62" t="s">
        <v>54</v>
      </c>
      <c r="B8" s="69">
        <f>DAYS360(B6,B7,FALSE)</f>
        <v>270</v>
      </c>
      <c r="C8" s="59"/>
      <c r="D8" s="70"/>
      <c r="G8" s="67"/>
      <c r="H8" s="71"/>
      <c r="I8" s="72"/>
      <c r="J8" s="68"/>
    </row>
    <row r="9" spans="1:14" s="60" customFormat="1" ht="15" customHeight="1">
      <c r="A9" s="73" t="s">
        <v>55</v>
      </c>
      <c r="B9" s="74">
        <v>20</v>
      </c>
      <c r="C9" s="59"/>
      <c r="D9" s="70"/>
      <c r="G9" s="67"/>
      <c r="H9" s="71"/>
      <c r="I9" s="72"/>
      <c r="J9" s="68"/>
    </row>
    <row r="10" spans="1:14" s="60" customFormat="1" ht="15" customHeight="1">
      <c r="A10" s="75"/>
      <c r="B10" s="76"/>
      <c r="C10" s="59"/>
      <c r="D10" s="59"/>
      <c r="E10" s="70"/>
      <c r="H10" s="67"/>
      <c r="I10" s="71"/>
      <c r="J10" s="72"/>
      <c r="K10" s="68"/>
    </row>
    <row r="11" spans="1:14" s="60" customFormat="1" ht="15" customHeight="1">
      <c r="B11" s="77"/>
      <c r="C11" s="78"/>
      <c r="D11" s="59"/>
      <c r="E11" s="59"/>
      <c r="F11" s="59"/>
    </row>
    <row r="12" spans="1:14" s="55" customFormat="1" ht="15" customHeight="1">
      <c r="A12" s="149" t="s">
        <v>56</v>
      </c>
      <c r="B12" s="140" t="s">
        <v>21</v>
      </c>
      <c r="C12" s="140" t="s">
        <v>22</v>
      </c>
      <c r="D12" s="140" t="s">
        <v>23</v>
      </c>
      <c r="E12" s="140" t="s">
        <v>24</v>
      </c>
      <c r="F12" s="140" t="s">
        <v>25</v>
      </c>
      <c r="G12" s="140" t="s">
        <v>57</v>
      </c>
      <c r="H12" s="145" t="s">
        <v>58</v>
      </c>
      <c r="I12" s="145" t="s">
        <v>8</v>
      </c>
      <c r="J12" s="147">
        <v>13108</v>
      </c>
      <c r="K12" s="148"/>
      <c r="L12" s="79">
        <v>16000</v>
      </c>
    </row>
    <row r="13" spans="1:14" s="55" customFormat="1" ht="15" customHeight="1">
      <c r="A13" s="150"/>
      <c r="B13" s="141"/>
      <c r="C13" s="141"/>
      <c r="D13" s="141"/>
      <c r="E13" s="141"/>
      <c r="F13" s="141"/>
      <c r="G13" s="141"/>
      <c r="H13" s="146"/>
      <c r="I13" s="146"/>
      <c r="J13" s="80" t="s">
        <v>31</v>
      </c>
      <c r="K13" s="81" t="s">
        <v>32</v>
      </c>
      <c r="L13" s="82" t="s">
        <v>33</v>
      </c>
      <c r="M13" s="82" t="s">
        <v>34</v>
      </c>
    </row>
    <row r="14" spans="1:14" s="55" customFormat="1" ht="15" customHeight="1">
      <c r="A14" s="83" t="s">
        <v>59</v>
      </c>
      <c r="B14" s="84">
        <v>1669.9</v>
      </c>
      <c r="C14" s="85">
        <f>B14*12</f>
        <v>20038.8</v>
      </c>
      <c r="D14" s="85">
        <f>C14/365*$B$9</f>
        <v>1098.02</v>
      </c>
      <c r="E14" s="85">
        <f>C14*0.326</f>
        <v>6532.65</v>
      </c>
      <c r="F14" s="85">
        <f>C14+D14+E14</f>
        <v>27669.47</v>
      </c>
      <c r="G14" s="86">
        <v>0.6</v>
      </c>
      <c r="H14" s="87">
        <v>9</v>
      </c>
      <c r="I14" s="88">
        <f>IF(H14=0,0,$B$8)</f>
        <v>270</v>
      </c>
      <c r="J14" s="89">
        <f>($B$14*$H14*$G14)</f>
        <v>9017.4599999999991</v>
      </c>
      <c r="K14" s="89">
        <f>($D14/360)*(I14)*$G14</f>
        <v>494.11</v>
      </c>
      <c r="L14" s="89">
        <f>J14*0.326</f>
        <v>2939.69</v>
      </c>
      <c r="M14" s="89">
        <f>SUM(J14:L14)</f>
        <v>12451.26</v>
      </c>
      <c r="N14" s="90"/>
    </row>
    <row r="15" spans="1:14" s="55" customFormat="1" ht="15" customHeight="1">
      <c r="A15" s="83" t="s">
        <v>60</v>
      </c>
      <c r="B15" s="84">
        <v>2031.13</v>
      </c>
      <c r="C15" s="85">
        <f>B15*12</f>
        <v>24373.56</v>
      </c>
      <c r="D15" s="85">
        <f>C15/365*$B$9</f>
        <v>1335.54</v>
      </c>
      <c r="E15" s="85">
        <f>C15*0.326</f>
        <v>7945.78</v>
      </c>
      <c r="F15" s="85">
        <f>C15+D15+E15</f>
        <v>33654.879999999997</v>
      </c>
      <c r="G15" s="86">
        <v>1</v>
      </c>
      <c r="H15" s="87"/>
      <c r="I15" s="88">
        <f>IF(H15=0,0,$B$8)</f>
        <v>0</v>
      </c>
      <c r="J15" s="89">
        <f>($B$15*$H15*$G15)</f>
        <v>0</v>
      </c>
      <c r="K15" s="89">
        <f>($D15/360)*(I15)*$G15</f>
        <v>0</v>
      </c>
      <c r="L15" s="89">
        <f>J15*0.326</f>
        <v>0</v>
      </c>
      <c r="M15" s="89">
        <f>SUM(J15:L15)</f>
        <v>0</v>
      </c>
      <c r="N15" s="90"/>
    </row>
    <row r="16" spans="1:14" s="55" customFormat="1" ht="15" customHeight="1">
      <c r="A16" s="83" t="s">
        <v>61</v>
      </c>
      <c r="B16" s="84">
        <v>2360.2600000000002</v>
      </c>
      <c r="C16" s="85">
        <f>B16*12</f>
        <v>28323.119999999999</v>
      </c>
      <c r="D16" s="85">
        <f>C16/365*$B$9</f>
        <v>1551.95</v>
      </c>
      <c r="E16" s="85">
        <f>C16*0.326</f>
        <v>9233.34</v>
      </c>
      <c r="F16" s="85">
        <f>C16+D16+E16</f>
        <v>39108.410000000003</v>
      </c>
      <c r="G16" s="86">
        <v>1</v>
      </c>
      <c r="H16" s="87"/>
      <c r="I16" s="88">
        <f>IF(H16=0,0,$B$8)</f>
        <v>0</v>
      </c>
      <c r="J16" s="89">
        <f>($B16*$H16*$G16)</f>
        <v>0</v>
      </c>
      <c r="K16" s="89">
        <f>($D16/360)*(I16)*$G16</f>
        <v>0</v>
      </c>
      <c r="L16" s="89">
        <f>J16*0.326</f>
        <v>0</v>
      </c>
      <c r="M16" s="89">
        <f>SUM(J16:L16)</f>
        <v>0</v>
      </c>
      <c r="N16" s="90"/>
    </row>
    <row r="17" spans="1:14" s="55" customFormat="1" ht="15" customHeight="1">
      <c r="A17" s="83" t="s">
        <v>62</v>
      </c>
      <c r="B17" s="84">
        <v>3180.82</v>
      </c>
      <c r="C17" s="85">
        <f>B17*12</f>
        <v>38169.839999999997</v>
      </c>
      <c r="D17" s="85">
        <f>C17/365*$B$9</f>
        <v>2091.5</v>
      </c>
      <c r="E17" s="85">
        <f>C17*0.326</f>
        <v>12443.37</v>
      </c>
      <c r="F17" s="85">
        <f>C17+D17+E17</f>
        <v>52704.71</v>
      </c>
      <c r="G17" s="86">
        <v>1</v>
      </c>
      <c r="H17" s="87"/>
      <c r="I17" s="88">
        <f>IF(H17=0,0,$B$8)</f>
        <v>0</v>
      </c>
      <c r="J17" s="89">
        <f>($B17*$H17*$G17)</f>
        <v>0</v>
      </c>
      <c r="K17" s="89">
        <f>($D17/360)*(I17)*$G17</f>
        <v>0</v>
      </c>
      <c r="L17" s="89">
        <f>J17*0.326</f>
        <v>0</v>
      </c>
      <c r="M17" s="89">
        <f>SUM(J17:L17)</f>
        <v>0</v>
      </c>
      <c r="N17" s="90"/>
    </row>
    <row r="18" spans="1:14" s="55" customFormat="1" ht="15" customHeight="1">
      <c r="B18" s="90"/>
      <c r="C18" s="59"/>
      <c r="D18" s="59"/>
      <c r="E18" s="59"/>
      <c r="F18" s="59"/>
      <c r="J18" s="91">
        <f>SUM(J14:J17)</f>
        <v>9017.4599999999991</v>
      </c>
      <c r="K18" s="91">
        <f>SUM(K14:K17)</f>
        <v>494.11</v>
      </c>
      <c r="L18" s="92">
        <f>SUM(L14:L17)</f>
        <v>2939.69</v>
      </c>
      <c r="M18" s="92">
        <f>SUM(M14:M17)</f>
        <v>12451.26</v>
      </c>
      <c r="N18" s="90"/>
    </row>
    <row r="19" spans="1:14" s="55" customFormat="1" ht="15" customHeight="1">
      <c r="C19" s="56"/>
      <c r="D19" s="56"/>
      <c r="E19" s="56"/>
      <c r="F19" s="56"/>
    </row>
    <row r="20" spans="1:14" s="55" customFormat="1" ht="15" customHeight="1">
      <c r="A20" s="63" t="s">
        <v>63</v>
      </c>
      <c r="C20" s="56"/>
      <c r="D20" s="56"/>
      <c r="E20" s="56"/>
      <c r="F20" s="56"/>
    </row>
  </sheetData>
  <mergeCells count="12">
    <mergeCell ref="D12:D13"/>
    <mergeCell ref="E12:E13"/>
    <mergeCell ref="F12:F13"/>
    <mergeCell ref="A2:M2"/>
    <mergeCell ref="G12:G13"/>
    <mergeCell ref="H12:H13"/>
    <mergeCell ref="I12:I13"/>
    <mergeCell ref="J12:K12"/>
    <mergeCell ref="A12:A13"/>
    <mergeCell ref="A5:B5"/>
    <mergeCell ref="B12:B13"/>
    <mergeCell ref="C12:C13"/>
  </mergeCells>
  <pageMargins left="0.19685039370078741" right="0.19685039370078741" top="0.19685039370078741" bottom="0.19685039370078741" header="0" footer="0"/>
  <pageSetup paperSize="9" scale="7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8"/>
  <sheetViews>
    <sheetView tabSelected="1" workbookViewId="0">
      <selection activeCell="F19" sqref="F19"/>
    </sheetView>
  </sheetViews>
  <sheetFormatPr defaultColWidth="11.42578125" defaultRowHeight="15.75"/>
  <cols>
    <col min="1" max="1" width="54.7109375" style="51" bestFit="1" customWidth="1"/>
    <col min="2" max="2" width="16.7109375" style="52" customWidth="1"/>
    <col min="3" max="3" width="15.85546875" style="51" customWidth="1"/>
    <col min="4" max="4" width="13.7109375" style="51" bestFit="1" customWidth="1"/>
    <col min="5" max="5" width="14.85546875" style="51" customWidth="1"/>
    <col min="6" max="6" width="17" style="51" customWidth="1"/>
    <col min="7" max="7" width="16.28515625" style="51" customWidth="1"/>
    <col min="8" max="16384" width="11.42578125" style="51"/>
  </cols>
  <sheetData>
    <row r="1" spans="1:7" ht="16.5" thickBot="1"/>
    <row r="2" spans="1:7" ht="19.5" thickBot="1">
      <c r="A2" s="142" t="s">
        <v>64</v>
      </c>
      <c r="B2" s="143"/>
      <c r="C2" s="143"/>
      <c r="D2" s="143"/>
      <c r="E2" s="143"/>
      <c r="F2" s="143"/>
      <c r="G2" s="144"/>
    </row>
    <row r="4" spans="1:7">
      <c r="A4" s="50" t="s">
        <v>65</v>
      </c>
    </row>
    <row r="5" spans="1:7">
      <c r="A5" s="48" t="s">
        <v>66</v>
      </c>
      <c r="B5" s="52">
        <v>15000</v>
      </c>
    </row>
    <row r="6" spans="1:7">
      <c r="A6" s="48" t="s">
        <v>67</v>
      </c>
      <c r="B6" s="52">
        <v>12451.26</v>
      </c>
    </row>
    <row r="7" spans="1:7">
      <c r="A7" s="48" t="s">
        <v>68</v>
      </c>
      <c r="B7" s="52">
        <v>3000</v>
      </c>
      <c r="C7" s="53"/>
    </row>
    <row r="8" spans="1:7">
      <c r="A8" s="48" t="s">
        <v>69</v>
      </c>
      <c r="B8" s="52">
        <v>3500</v>
      </c>
      <c r="C8" s="53"/>
    </row>
    <row r="9" spans="1:7">
      <c r="A9" s="93" t="s">
        <v>70</v>
      </c>
      <c r="B9" s="52">
        <f>SUM(B5:B8)</f>
        <v>33951.26</v>
      </c>
      <c r="C9" s="53"/>
    </row>
    <row r="10" spans="1:7">
      <c r="A10" s="93" t="s">
        <v>71</v>
      </c>
      <c r="B10" s="52">
        <f>B9*0.17</f>
        <v>5771.71</v>
      </c>
    </row>
    <row r="11" spans="1:7">
      <c r="A11" s="94" t="s">
        <v>72</v>
      </c>
      <c r="B11" s="54">
        <f>B10+B9</f>
        <v>39722.97</v>
      </c>
    </row>
    <row r="12" spans="1:7">
      <c r="A12" s="94" t="s">
        <v>73</v>
      </c>
      <c r="B12" s="54">
        <f>B11*1.21</f>
        <v>48064.79</v>
      </c>
    </row>
    <row r="13" spans="1:7">
      <c r="A13" s="95" t="s">
        <v>74</v>
      </c>
    </row>
    <row r="14" spans="1:7">
      <c r="A14" s="48"/>
    </row>
    <row r="16" spans="1:7">
      <c r="A16" s="94" t="s">
        <v>75</v>
      </c>
    </row>
    <row r="17" spans="1:2">
      <c r="A17" s="96" t="s">
        <v>76</v>
      </c>
      <c r="B17" s="52">
        <f>B9*0.02</f>
        <v>679.03</v>
      </c>
    </row>
    <row r="18" spans="1:2">
      <c r="A18" s="96" t="s">
        <v>77</v>
      </c>
      <c r="B18" s="52">
        <f>B9*0.05</f>
        <v>1697.56</v>
      </c>
    </row>
  </sheetData>
  <mergeCells count="1">
    <mergeCell ref="A2:G2"/>
  </mergeCells>
  <pageMargins left="0.25" right="0.25" top="0.75" bottom="0.75" header="0.3" footer="0.3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16BD46CB8FCA4E9458D219ABEE0754" ma:contentTypeVersion="6" ma:contentTypeDescription="Crear nuevo documento." ma:contentTypeScope="" ma:versionID="5dfb018000cbc95024eb0a3f07883220">
  <xsd:schema xmlns:xsd="http://www.w3.org/2001/XMLSchema" xmlns:xs="http://www.w3.org/2001/XMLSchema" xmlns:p="http://schemas.microsoft.com/office/2006/metadata/properties" xmlns:ns2="50d56b9d-0f12-49e8-ab31-ac111995d787" xmlns:ns3="3c76538c-0a62-45b0-8faf-aa134e316482" targetNamespace="http://schemas.microsoft.com/office/2006/metadata/properties" ma:root="true" ma:fieldsID="64e7aaa44b4398c40a9f2cdbbc93a024" ns2:_="" ns3:_="">
    <xsd:import namespace="50d56b9d-0f12-49e8-ab31-ac111995d787"/>
    <xsd:import namespace="3c76538c-0a62-45b0-8faf-aa134e3164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56b9d-0f12-49e8-ab31-ac111995d7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76538c-0a62-45b0-8faf-aa134e3164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28DFD-02F5-4B07-A93C-07B3F3884933}"/>
</file>

<file path=customXml/itemProps2.xml><?xml version="1.0" encoding="utf-8"?>
<ds:datastoreItem xmlns:ds="http://schemas.openxmlformats.org/officeDocument/2006/customXml" ds:itemID="{D33EC1ED-1827-4DA6-9D3B-168D646000CF}"/>
</file>

<file path=customXml/itemProps3.xml><?xml version="1.0" encoding="utf-8"?>
<ds:datastoreItem xmlns:ds="http://schemas.openxmlformats.org/officeDocument/2006/customXml" ds:itemID="{A3FB8943-22B9-4EAA-A90A-B69B7FB741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Arantxa del Rey</cp:lastModifiedBy>
  <cp:revision/>
  <dcterms:created xsi:type="dcterms:W3CDTF">2024-07-03T12:38:31Z</dcterms:created>
  <dcterms:modified xsi:type="dcterms:W3CDTF">2024-07-03T12:38:31Z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0x0101005B16BD46CB8FCA4E9458D219ABEE0754</vt:lpwstr>
  </property>
</Properties>
</file>