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externalLinks/externalLink5.xml" ContentType="application/vnd.openxmlformats-officedocument.spreadsheetml.externalLink+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updateLinks="never" codeName="ThisWorkbook"/>
  <mc:AlternateContent xmlns:mc="http://schemas.openxmlformats.org/markup-compatibility/2006">
    <mc:Choice Requires="x15">
      <x15ac:absPath xmlns:x15ac="http://schemas.microsoft.com/office/spreadsheetml/2010/11/ac" url="D:\FEBRERO 2021\2021 EMPRESAS\"/>
    </mc:Choice>
  </mc:AlternateContent>
  <xr:revisionPtr revIDLastSave="0" documentId="13_ncr:1_{F7D7FF33-BD5F-4E74-87A3-A046929F9153}" xr6:coauthVersionLast="36" xr6:coauthVersionMax="36" xr10:uidLastSave="{00000000-0000-0000-0000-000000000000}"/>
  <workbookProtection workbookPassword="DD66" lockStructure="1"/>
  <bookViews>
    <workbookView xWindow="480" yWindow="75" windowWidth="13890" windowHeight="5775" firstSheet="3" activeTab="8" xr2:uid="{00000000-000D-0000-FFFF-FFFF00000000}"/>
  </bookViews>
  <sheets>
    <sheet name="Exporta" sheetId="14" state="hidden" r:id="rId1"/>
    <sheet name="VALORACION" sheetId="13" state="hidden" r:id="rId2"/>
    <sheet name="EMPRESA-DATOS GENERALES" sheetId="4" r:id="rId3"/>
    <sheet name="TAMAÑO EMPRESA" sheetId="5" r:id="rId4"/>
    <sheet name="PROYECTO-DATOS GENERALES" sheetId="1" r:id="rId5"/>
    <sheet name="ACTIVOS" sheetId="2" r:id="rId6"/>
    <sheet name="PERSONAL" sheetId="6" r:id="rId7"/>
    <sheet name="MATERIALES" sheetId="7" r:id="rId8"/>
    <sheet name="COLABORACIONES" sheetId="8" r:id="rId9"/>
    <sheet name="OTROS COSTES" sheetId="9" r:id="rId10"/>
    <sheet name="PRESUPUESTO TOTAL" sheetId="12" r:id="rId11"/>
    <sheet name="INGRESOS DEL PROYECTO" sheetId="11" r:id="rId12"/>
  </sheets>
  <externalReferences>
    <externalReference r:id="rId13"/>
    <externalReference r:id="rId14"/>
    <externalReference r:id="rId15"/>
    <externalReference r:id="rId16"/>
    <externalReference r:id="rId17"/>
    <externalReference r:id="rId18"/>
  </externalReferences>
  <calcPr calcId="191029"/>
</workbook>
</file>

<file path=xl/calcChain.xml><?xml version="1.0" encoding="utf-8"?>
<calcChain xmlns="http://schemas.openxmlformats.org/spreadsheetml/2006/main">
  <c r="J99" i="13" l="1"/>
  <c r="J98" i="13"/>
  <c r="I99" i="13"/>
  <c r="I98" i="13"/>
  <c r="H99" i="13"/>
  <c r="H98" i="13"/>
  <c r="G99" i="13"/>
  <c r="G98" i="13"/>
  <c r="F99" i="13"/>
  <c r="F98" i="13"/>
  <c r="P95" i="13"/>
  <c r="N95" i="13"/>
  <c r="L95" i="13"/>
  <c r="J95" i="13"/>
  <c r="H95" i="13"/>
  <c r="H388" i="13"/>
  <c r="F388" i="13"/>
  <c r="BI2" i="14"/>
  <c r="AV2" i="14"/>
  <c r="E20" i="4"/>
  <c r="AW2" i="14"/>
  <c r="G47" i="13"/>
  <c r="G48" i="13"/>
  <c r="AX2" i="14"/>
  <c r="J2" i="14"/>
  <c r="B96" i="13"/>
  <c r="K2" i="14" s="1"/>
  <c r="BJ2" i="14"/>
  <c r="BL2" i="14"/>
  <c r="BK2" i="14"/>
  <c r="AT2" i="14"/>
  <c r="AR2" i="14"/>
  <c r="AQ2" i="14"/>
  <c r="AP2" i="14"/>
  <c r="P4" i="13"/>
  <c r="F39" i="8"/>
  <c r="E39" i="8"/>
  <c r="F38" i="8"/>
  <c r="J357" i="13" s="1"/>
  <c r="E38" i="8"/>
  <c r="F40" i="8"/>
  <c r="G2" i="14"/>
  <c r="C2" i="14"/>
  <c r="A2" i="14"/>
  <c r="G14" i="13"/>
  <c r="D7" i="13"/>
  <c r="P24" i="13"/>
  <c r="K2" i="13" s="1"/>
  <c r="L2" i="13"/>
  <c r="Y98" i="13"/>
  <c r="X98" i="13"/>
  <c r="W98" i="13"/>
  <c r="V98" i="13"/>
  <c r="U98" i="13"/>
  <c r="D408" i="13"/>
  <c r="Y84" i="13"/>
  <c r="Y85" i="13"/>
  <c r="Y83" i="13"/>
  <c r="X84" i="13"/>
  <c r="X83" i="13"/>
  <c r="W84" i="13"/>
  <c r="W83" i="13"/>
  <c r="W85" i="13" s="1"/>
  <c r="V84" i="13"/>
  <c r="V83" i="13"/>
  <c r="U84" i="13"/>
  <c r="U83" i="13"/>
  <c r="U85" i="13" s="1"/>
  <c r="Y76" i="13"/>
  <c r="X76" i="13"/>
  <c r="W76" i="13"/>
  <c r="V76" i="13"/>
  <c r="U76" i="13"/>
  <c r="Y74" i="13"/>
  <c r="X74" i="13"/>
  <c r="W74" i="13"/>
  <c r="V74" i="13"/>
  <c r="U74" i="13"/>
  <c r="Y72" i="13"/>
  <c r="X72" i="13"/>
  <c r="W72" i="13"/>
  <c r="V72" i="13"/>
  <c r="U72" i="13"/>
  <c r="Y70" i="13"/>
  <c r="X70" i="13"/>
  <c r="W70" i="13"/>
  <c r="V70" i="13"/>
  <c r="U70" i="13"/>
  <c r="Y68" i="13"/>
  <c r="X68" i="13"/>
  <c r="W68" i="13"/>
  <c r="V68" i="13"/>
  <c r="U68" i="13"/>
  <c r="Y65" i="13"/>
  <c r="X65" i="13"/>
  <c r="W65" i="13"/>
  <c r="V65" i="13"/>
  <c r="U65" i="13"/>
  <c r="Y63" i="13"/>
  <c r="X63" i="13"/>
  <c r="W63" i="13"/>
  <c r="V63" i="13"/>
  <c r="U63" i="13"/>
  <c r="Y61" i="13"/>
  <c r="X61" i="13"/>
  <c r="W61" i="13"/>
  <c r="V61" i="13"/>
  <c r="U61" i="13"/>
  <c r="Y57" i="13"/>
  <c r="X57" i="13"/>
  <c r="W57" i="13"/>
  <c r="V57" i="13"/>
  <c r="U57" i="13"/>
  <c r="Z94" i="13"/>
  <c r="Z93" i="13"/>
  <c r="Y94" i="13"/>
  <c r="Y93" i="13"/>
  <c r="X94" i="13"/>
  <c r="X93" i="13"/>
  <c r="W94" i="13"/>
  <c r="W93" i="13"/>
  <c r="V94" i="13"/>
  <c r="V93" i="13"/>
  <c r="U94" i="13"/>
  <c r="U93" i="13"/>
  <c r="Y89" i="13"/>
  <c r="X89" i="13"/>
  <c r="W89" i="13"/>
  <c r="V89" i="13"/>
  <c r="U89" i="13"/>
  <c r="G73" i="13"/>
  <c r="H73" i="13" s="1"/>
  <c r="G75" i="13"/>
  <c r="H68" i="13"/>
  <c r="I382" i="13"/>
  <c r="I383" i="13"/>
  <c r="I384" i="13"/>
  <c r="I385" i="13"/>
  <c r="I386" i="13"/>
  <c r="I381" i="13"/>
  <c r="G382" i="13"/>
  <c r="G383" i="13"/>
  <c r="G384" i="13"/>
  <c r="G385" i="13"/>
  <c r="G386" i="13"/>
  <c r="G381" i="13"/>
  <c r="J358" i="13"/>
  <c r="J359" i="13"/>
  <c r="H358" i="13"/>
  <c r="H357" i="13"/>
  <c r="G331" i="13"/>
  <c r="H331" i="13"/>
  <c r="I331" i="13"/>
  <c r="J331" i="13"/>
  <c r="G332" i="13"/>
  <c r="H332" i="13"/>
  <c r="I332" i="13"/>
  <c r="J332" i="13"/>
  <c r="G333" i="13"/>
  <c r="H333" i="13"/>
  <c r="I333" i="13"/>
  <c r="J333" i="13"/>
  <c r="G334" i="13"/>
  <c r="H334" i="13"/>
  <c r="I334" i="13"/>
  <c r="J334" i="13"/>
  <c r="G335" i="13"/>
  <c r="H335" i="13"/>
  <c r="I335" i="13"/>
  <c r="J335" i="13"/>
  <c r="G336" i="13"/>
  <c r="H336" i="13"/>
  <c r="I336" i="13"/>
  <c r="J336" i="13"/>
  <c r="G337" i="13"/>
  <c r="H337" i="13"/>
  <c r="I337" i="13"/>
  <c r="J337" i="13"/>
  <c r="G338" i="13"/>
  <c r="H338" i="13"/>
  <c r="I338" i="13"/>
  <c r="J338" i="13"/>
  <c r="G339" i="13"/>
  <c r="H339" i="13"/>
  <c r="I339" i="13"/>
  <c r="J339" i="13"/>
  <c r="G340" i="13"/>
  <c r="H340" i="13"/>
  <c r="I340" i="13"/>
  <c r="J340" i="13"/>
  <c r="G341" i="13"/>
  <c r="H341" i="13"/>
  <c r="I341" i="13"/>
  <c r="J341" i="13"/>
  <c r="G342" i="13"/>
  <c r="H342" i="13"/>
  <c r="I342" i="13"/>
  <c r="J342" i="13"/>
  <c r="G343" i="13"/>
  <c r="H343" i="13"/>
  <c r="I343" i="13"/>
  <c r="J343" i="13"/>
  <c r="G344" i="13"/>
  <c r="H344" i="13"/>
  <c r="I344" i="13"/>
  <c r="J344" i="13"/>
  <c r="G345" i="13"/>
  <c r="H345" i="13"/>
  <c r="I345" i="13"/>
  <c r="J345" i="13"/>
  <c r="G346" i="13"/>
  <c r="H346" i="13"/>
  <c r="I346" i="13"/>
  <c r="J346" i="13"/>
  <c r="G347" i="13"/>
  <c r="H347" i="13"/>
  <c r="I347" i="13"/>
  <c r="J347" i="13"/>
  <c r="G348" i="13"/>
  <c r="H348" i="13"/>
  <c r="I348" i="13"/>
  <c r="J348" i="13"/>
  <c r="G349" i="13"/>
  <c r="H349" i="13"/>
  <c r="I349" i="13"/>
  <c r="J349" i="13"/>
  <c r="G350" i="13"/>
  <c r="H350" i="13"/>
  <c r="I350" i="13"/>
  <c r="J350" i="13"/>
  <c r="G351" i="13"/>
  <c r="H351" i="13"/>
  <c r="I351" i="13"/>
  <c r="J351" i="13"/>
  <c r="G352" i="13"/>
  <c r="H352" i="13"/>
  <c r="I352" i="13"/>
  <c r="J352" i="13"/>
  <c r="G324" i="13"/>
  <c r="H324" i="13"/>
  <c r="I324" i="13"/>
  <c r="J324" i="13"/>
  <c r="G325" i="13"/>
  <c r="H325" i="13"/>
  <c r="I325" i="13"/>
  <c r="J325" i="13"/>
  <c r="G326" i="13"/>
  <c r="H326" i="13"/>
  <c r="I326" i="13"/>
  <c r="J326" i="13"/>
  <c r="G327" i="13"/>
  <c r="H327" i="13"/>
  <c r="I327" i="13"/>
  <c r="J327" i="13"/>
  <c r="G328" i="13"/>
  <c r="H328" i="13"/>
  <c r="I328" i="13"/>
  <c r="J328" i="13"/>
  <c r="G329" i="13"/>
  <c r="H329" i="13"/>
  <c r="I329" i="13"/>
  <c r="J329" i="13"/>
  <c r="G330" i="13"/>
  <c r="H330" i="13"/>
  <c r="I330" i="13"/>
  <c r="J330" i="13"/>
  <c r="I323" i="13"/>
  <c r="J323" i="13"/>
  <c r="G323" i="13"/>
  <c r="H323" i="13"/>
  <c r="G302" i="13"/>
  <c r="G301" i="13"/>
  <c r="G300" i="13"/>
  <c r="G299" i="13"/>
  <c r="G298" i="13"/>
  <c r="G297" i="13"/>
  <c r="G296" i="13"/>
  <c r="G295" i="13"/>
  <c r="G294" i="13"/>
  <c r="G293" i="13"/>
  <c r="G292" i="13"/>
  <c r="G291" i="13"/>
  <c r="G290" i="13"/>
  <c r="G289" i="13"/>
  <c r="G288" i="13"/>
  <c r="G287" i="13"/>
  <c r="G286" i="13"/>
  <c r="G285" i="13"/>
  <c r="G284" i="13"/>
  <c r="G283" i="13"/>
  <c r="G282" i="13"/>
  <c r="G281" i="13"/>
  <c r="G280" i="13"/>
  <c r="G279" i="13"/>
  <c r="G278"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G277" i="13"/>
  <c r="E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H277" i="13"/>
  <c r="F277" i="13"/>
  <c r="N15" i="6"/>
  <c r="N164" i="13" s="1"/>
  <c r="O15" i="6"/>
  <c r="P15" i="6"/>
  <c r="K165" i="13"/>
  <c r="L165" i="13"/>
  <c r="K166" i="13"/>
  <c r="L166" i="13"/>
  <c r="K167" i="13"/>
  <c r="L167" i="13"/>
  <c r="K168" i="13"/>
  <c r="L168" i="13"/>
  <c r="K169" i="13"/>
  <c r="L169" i="13"/>
  <c r="K170" i="13"/>
  <c r="L170" i="13"/>
  <c r="K171" i="13"/>
  <c r="L171" i="13"/>
  <c r="K172" i="13"/>
  <c r="L172" i="13"/>
  <c r="K173" i="13"/>
  <c r="L173" i="13"/>
  <c r="K174" i="13"/>
  <c r="L174" i="13"/>
  <c r="K175" i="13"/>
  <c r="L175" i="13"/>
  <c r="K176" i="13"/>
  <c r="L176" i="13"/>
  <c r="K177" i="13"/>
  <c r="L177" i="13"/>
  <c r="K178" i="13"/>
  <c r="L178" i="13"/>
  <c r="K179" i="13"/>
  <c r="L179" i="13"/>
  <c r="K180" i="13"/>
  <c r="L180" i="13"/>
  <c r="K181" i="13"/>
  <c r="L181" i="13"/>
  <c r="K182" i="13"/>
  <c r="L182" i="13"/>
  <c r="K183" i="13"/>
  <c r="L183" i="13"/>
  <c r="K184" i="13"/>
  <c r="L184" i="13"/>
  <c r="K185" i="13"/>
  <c r="L185" i="13"/>
  <c r="K186" i="13"/>
  <c r="L186" i="13"/>
  <c r="K187" i="13"/>
  <c r="L187" i="13"/>
  <c r="K188" i="13"/>
  <c r="L188" i="13"/>
  <c r="K189" i="13"/>
  <c r="L189" i="13"/>
  <c r="K190" i="13"/>
  <c r="L190" i="13"/>
  <c r="K191" i="13"/>
  <c r="L191" i="13"/>
  <c r="K192" i="13"/>
  <c r="L192" i="13"/>
  <c r="K193" i="13"/>
  <c r="L193" i="13"/>
  <c r="K194" i="13"/>
  <c r="L194" i="13"/>
  <c r="K195" i="13"/>
  <c r="L195" i="13"/>
  <c r="K196" i="13"/>
  <c r="L196" i="13"/>
  <c r="K197" i="13"/>
  <c r="L197" i="13"/>
  <c r="K198" i="13"/>
  <c r="L198" i="13"/>
  <c r="K199" i="13"/>
  <c r="L199" i="13"/>
  <c r="K200" i="13"/>
  <c r="L200" i="13"/>
  <c r="K201" i="13"/>
  <c r="L201" i="13"/>
  <c r="K202" i="13"/>
  <c r="L202" i="13"/>
  <c r="K203" i="13"/>
  <c r="L203" i="13"/>
  <c r="K204" i="13"/>
  <c r="L204" i="13"/>
  <c r="K205" i="13"/>
  <c r="L205" i="13"/>
  <c r="K206" i="13"/>
  <c r="L206" i="13"/>
  <c r="K207" i="13"/>
  <c r="L207" i="13"/>
  <c r="K208" i="13"/>
  <c r="L208" i="13"/>
  <c r="K209" i="13"/>
  <c r="L209" i="13"/>
  <c r="K210" i="13"/>
  <c r="L210" i="13"/>
  <c r="K211" i="13"/>
  <c r="L211" i="13"/>
  <c r="K212" i="13"/>
  <c r="L212" i="13"/>
  <c r="K213" i="13"/>
  <c r="L213" i="13"/>
  <c r="K214" i="13"/>
  <c r="L214" i="13"/>
  <c r="K215" i="13"/>
  <c r="L215" i="13"/>
  <c r="K216" i="13"/>
  <c r="L216" i="13"/>
  <c r="K217" i="13"/>
  <c r="L217" i="13"/>
  <c r="K218" i="13"/>
  <c r="L218" i="13"/>
  <c r="K219" i="13"/>
  <c r="L219" i="13"/>
  <c r="K220" i="13"/>
  <c r="L220" i="13"/>
  <c r="K221" i="13"/>
  <c r="L221" i="13"/>
  <c r="K222" i="13"/>
  <c r="L222" i="13"/>
  <c r="K223" i="13"/>
  <c r="L223" i="13"/>
  <c r="K224" i="13"/>
  <c r="L224" i="13"/>
  <c r="K225" i="13"/>
  <c r="L225" i="13"/>
  <c r="K226" i="13"/>
  <c r="L226" i="13"/>
  <c r="K227" i="13"/>
  <c r="L227" i="13"/>
  <c r="K228" i="13"/>
  <c r="L228" i="13"/>
  <c r="K229" i="13"/>
  <c r="L229" i="13"/>
  <c r="K230" i="13"/>
  <c r="L230" i="13"/>
  <c r="K231" i="13"/>
  <c r="L231" i="13"/>
  <c r="K232" i="13"/>
  <c r="L232" i="13"/>
  <c r="K233" i="13"/>
  <c r="L233" i="13"/>
  <c r="K234" i="13"/>
  <c r="L234" i="13"/>
  <c r="K235" i="13"/>
  <c r="L235" i="13"/>
  <c r="K236" i="13"/>
  <c r="L236" i="13"/>
  <c r="K237" i="13"/>
  <c r="L237" i="13"/>
  <c r="K238" i="13"/>
  <c r="L238" i="13"/>
  <c r="K239" i="13"/>
  <c r="L239" i="13"/>
  <c r="K240" i="13"/>
  <c r="L240" i="13"/>
  <c r="K241" i="13"/>
  <c r="L241" i="13"/>
  <c r="K242" i="13"/>
  <c r="L242" i="13"/>
  <c r="K243" i="13"/>
  <c r="L243" i="13"/>
  <c r="K244" i="13"/>
  <c r="L244" i="13"/>
  <c r="K245" i="13"/>
  <c r="L245" i="13"/>
  <c r="K246" i="13"/>
  <c r="L246" i="13"/>
  <c r="K247" i="13"/>
  <c r="L247" i="13"/>
  <c r="K248" i="13"/>
  <c r="L248" i="13"/>
  <c r="K249" i="13"/>
  <c r="L249" i="13"/>
  <c r="K250" i="13"/>
  <c r="L250" i="13"/>
  <c r="K251" i="13"/>
  <c r="L251" i="13"/>
  <c r="K252" i="13"/>
  <c r="L252" i="13"/>
  <c r="L164" i="13"/>
  <c r="K164" i="13"/>
  <c r="D2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G401" i="13"/>
  <c r="N15" i="13" s="1"/>
  <c r="E401" i="13"/>
  <c r="F382" i="13"/>
  <c r="H382" i="13"/>
  <c r="F383" i="13"/>
  <c r="H383" i="13"/>
  <c r="F384" i="13"/>
  <c r="H384" i="13"/>
  <c r="F385" i="13"/>
  <c r="H385" i="13"/>
  <c r="F386" i="13"/>
  <c r="H386" i="13"/>
  <c r="H381" i="13"/>
  <c r="J381" i="13" s="1"/>
  <c r="F381" i="13"/>
  <c r="A381" i="13"/>
  <c r="A382" i="13"/>
  <c r="A383" i="13"/>
  <c r="A384" i="13"/>
  <c r="A385" i="13"/>
  <c r="A386" i="13"/>
  <c r="A379" i="13"/>
  <c r="A353" i="13"/>
  <c r="E323" i="13"/>
  <c r="F323" i="13"/>
  <c r="E324" i="13"/>
  <c r="F324" i="13"/>
  <c r="E325" i="13"/>
  <c r="F325" i="13"/>
  <c r="E326" i="13"/>
  <c r="F326" i="13"/>
  <c r="E327" i="13"/>
  <c r="F327" i="13"/>
  <c r="E328" i="13"/>
  <c r="F328" i="13"/>
  <c r="E329" i="13"/>
  <c r="F329" i="13"/>
  <c r="E330" i="13"/>
  <c r="F330" i="13"/>
  <c r="E331" i="13"/>
  <c r="F331" i="13"/>
  <c r="E332" i="13"/>
  <c r="F332" i="13"/>
  <c r="E333" i="13"/>
  <c r="F333" i="13"/>
  <c r="E334" i="13"/>
  <c r="F334" i="13"/>
  <c r="E335" i="13"/>
  <c r="F335" i="13"/>
  <c r="E336" i="13"/>
  <c r="F336" i="13"/>
  <c r="E337" i="13"/>
  <c r="F337" i="13"/>
  <c r="E338" i="13"/>
  <c r="F338" i="13"/>
  <c r="E339" i="13"/>
  <c r="F339" i="13"/>
  <c r="E340" i="13"/>
  <c r="F340" i="13"/>
  <c r="E341" i="13"/>
  <c r="F341" i="13"/>
  <c r="E342" i="13"/>
  <c r="F342" i="13"/>
  <c r="E343" i="13"/>
  <c r="F343" i="13"/>
  <c r="E344" i="13"/>
  <c r="F344" i="13"/>
  <c r="E345" i="13"/>
  <c r="F345" i="13"/>
  <c r="E346" i="13"/>
  <c r="F346" i="13"/>
  <c r="E347" i="13"/>
  <c r="F347" i="13"/>
  <c r="E348" i="13"/>
  <c r="F348" i="13"/>
  <c r="E349" i="13"/>
  <c r="F349" i="13"/>
  <c r="E350" i="13"/>
  <c r="F350" i="13"/>
  <c r="E351" i="13"/>
  <c r="F351" i="13"/>
  <c r="E352" i="13"/>
  <c r="F352" i="13"/>
  <c r="A357" i="13"/>
  <c r="A345" i="13"/>
  <c r="A346" i="13"/>
  <c r="A347" i="13"/>
  <c r="A348" i="13"/>
  <c r="A349" i="13"/>
  <c r="A350" i="13"/>
  <c r="A351" i="13"/>
  <c r="A352" i="13"/>
  <c r="A323" i="13"/>
  <c r="A324" i="13"/>
  <c r="A325" i="13"/>
  <c r="A326" i="13"/>
  <c r="A327" i="13"/>
  <c r="A328" i="13"/>
  <c r="A329" i="13"/>
  <c r="A330" i="13"/>
  <c r="A331" i="13"/>
  <c r="A332" i="13"/>
  <c r="A333" i="13"/>
  <c r="A334" i="13"/>
  <c r="A335" i="13"/>
  <c r="A336" i="13"/>
  <c r="A337" i="13"/>
  <c r="A338" i="13"/>
  <c r="A339" i="13"/>
  <c r="A340" i="13"/>
  <c r="A341" i="13"/>
  <c r="A342" i="13"/>
  <c r="A343" i="13"/>
  <c r="A344" i="13"/>
  <c r="A321"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164" i="13"/>
  <c r="C164" i="13"/>
  <c r="D164" i="13"/>
  <c r="F164" i="13"/>
  <c r="G164" i="13"/>
  <c r="H164" i="13"/>
  <c r="I164" i="13"/>
  <c r="J164" i="13"/>
  <c r="A165" i="13"/>
  <c r="C165" i="13"/>
  <c r="D165" i="13"/>
  <c r="F165" i="13"/>
  <c r="G165" i="13"/>
  <c r="H165" i="13"/>
  <c r="I165" i="13"/>
  <c r="J165" i="13"/>
  <c r="P165" i="13"/>
  <c r="A166" i="13"/>
  <c r="C166" i="13"/>
  <c r="D166" i="13"/>
  <c r="F166" i="13"/>
  <c r="G166" i="13"/>
  <c r="H166" i="13"/>
  <c r="I166" i="13"/>
  <c r="J166" i="13"/>
  <c r="P166" i="13"/>
  <c r="A167" i="13"/>
  <c r="C167" i="13"/>
  <c r="D167" i="13"/>
  <c r="F167" i="13"/>
  <c r="G167" i="13"/>
  <c r="H167" i="13"/>
  <c r="I167" i="13"/>
  <c r="J167" i="13"/>
  <c r="P167" i="13"/>
  <c r="A168" i="13"/>
  <c r="C168" i="13"/>
  <c r="D168" i="13"/>
  <c r="F168" i="13"/>
  <c r="G168" i="13"/>
  <c r="H168" i="13"/>
  <c r="I168" i="13"/>
  <c r="J168" i="13"/>
  <c r="P168" i="13"/>
  <c r="A169" i="13"/>
  <c r="C169" i="13"/>
  <c r="D169" i="13"/>
  <c r="F169" i="13"/>
  <c r="G169" i="13"/>
  <c r="H169" i="13"/>
  <c r="I169" i="13"/>
  <c r="J169" i="13"/>
  <c r="P169" i="13"/>
  <c r="A170" i="13"/>
  <c r="C170" i="13"/>
  <c r="D170" i="13"/>
  <c r="F170" i="13"/>
  <c r="G170" i="13"/>
  <c r="H170" i="13"/>
  <c r="I170" i="13"/>
  <c r="J170" i="13"/>
  <c r="P170" i="13"/>
  <c r="A171" i="13"/>
  <c r="C171" i="13"/>
  <c r="D171" i="13"/>
  <c r="F171" i="13"/>
  <c r="G171" i="13"/>
  <c r="H171" i="13"/>
  <c r="I171" i="13"/>
  <c r="J171" i="13"/>
  <c r="A172" i="13"/>
  <c r="C172" i="13"/>
  <c r="D172" i="13"/>
  <c r="F172" i="13"/>
  <c r="G172" i="13"/>
  <c r="H172" i="13"/>
  <c r="I172" i="13"/>
  <c r="J172" i="13"/>
  <c r="P172" i="13"/>
  <c r="A173" i="13"/>
  <c r="C173" i="13"/>
  <c r="D173" i="13"/>
  <c r="F173" i="13"/>
  <c r="G173" i="13"/>
  <c r="H173" i="13"/>
  <c r="I173" i="13"/>
  <c r="J173" i="13"/>
  <c r="P173" i="13"/>
  <c r="A174" i="13"/>
  <c r="C174" i="13"/>
  <c r="D174" i="13"/>
  <c r="F174" i="13"/>
  <c r="G174" i="13"/>
  <c r="H174" i="13"/>
  <c r="I174" i="13"/>
  <c r="J174" i="13"/>
  <c r="A175" i="13"/>
  <c r="C175" i="13"/>
  <c r="D175" i="13"/>
  <c r="F175" i="13"/>
  <c r="G175" i="13"/>
  <c r="H175" i="13"/>
  <c r="I175" i="13"/>
  <c r="J175" i="13"/>
  <c r="P175" i="13" s="1"/>
  <c r="A176" i="13"/>
  <c r="C176" i="13"/>
  <c r="D176" i="13"/>
  <c r="F176" i="13"/>
  <c r="G176" i="13"/>
  <c r="F256" i="13" s="1"/>
  <c r="H176" i="13"/>
  <c r="I176" i="13"/>
  <c r="J176" i="13"/>
  <c r="A177" i="13"/>
  <c r="C177" i="13"/>
  <c r="D177" i="13"/>
  <c r="F177" i="13"/>
  <c r="G177" i="13"/>
  <c r="H177" i="13"/>
  <c r="I177" i="13"/>
  <c r="J177" i="13"/>
  <c r="P177" i="13"/>
  <c r="A178" i="13"/>
  <c r="C178" i="13"/>
  <c r="D178" i="13"/>
  <c r="F178" i="13"/>
  <c r="G178" i="13"/>
  <c r="H178" i="13"/>
  <c r="I178" i="13"/>
  <c r="J178" i="13"/>
  <c r="A179" i="13"/>
  <c r="C179" i="13"/>
  <c r="D179" i="13"/>
  <c r="F179" i="13"/>
  <c r="D255" i="13" s="1"/>
  <c r="G179" i="13"/>
  <c r="H179" i="13"/>
  <c r="I179" i="13"/>
  <c r="J179" i="13"/>
  <c r="P179" i="13"/>
  <c r="A180" i="13"/>
  <c r="C180" i="13"/>
  <c r="D180" i="13"/>
  <c r="F180" i="13"/>
  <c r="G180" i="13"/>
  <c r="H180" i="13"/>
  <c r="I180" i="13"/>
  <c r="O180" i="13" s="1"/>
  <c r="J180" i="13"/>
  <c r="A181" i="13"/>
  <c r="C181" i="13"/>
  <c r="D181" i="13"/>
  <c r="F181" i="13"/>
  <c r="G181" i="13"/>
  <c r="H181" i="13"/>
  <c r="I181" i="13"/>
  <c r="J181" i="13"/>
  <c r="P181" i="13"/>
  <c r="A182" i="13"/>
  <c r="C182" i="13"/>
  <c r="D182" i="13"/>
  <c r="F182" i="13"/>
  <c r="G182" i="13"/>
  <c r="H182" i="13"/>
  <c r="I182" i="13"/>
  <c r="O182" i="13"/>
  <c r="J182" i="13"/>
  <c r="A183" i="13"/>
  <c r="C183" i="13"/>
  <c r="D183" i="13"/>
  <c r="F183" i="13"/>
  <c r="G183" i="13"/>
  <c r="H183" i="13"/>
  <c r="I183" i="13"/>
  <c r="J183" i="13"/>
  <c r="P183" i="13"/>
  <c r="A184" i="13"/>
  <c r="C184" i="13"/>
  <c r="D184" i="13"/>
  <c r="F184" i="13"/>
  <c r="G184" i="13"/>
  <c r="H184" i="13"/>
  <c r="I184" i="13"/>
  <c r="J184" i="13"/>
  <c r="A185" i="13"/>
  <c r="C185" i="13"/>
  <c r="D185" i="13"/>
  <c r="F185" i="13"/>
  <c r="G185" i="13"/>
  <c r="H185" i="13"/>
  <c r="I185" i="13"/>
  <c r="J185" i="13"/>
  <c r="P185" i="13"/>
  <c r="A186" i="13"/>
  <c r="C186" i="13"/>
  <c r="D186" i="13"/>
  <c r="F186" i="13"/>
  <c r="G186" i="13"/>
  <c r="H186" i="13"/>
  <c r="I186" i="13"/>
  <c r="O186" i="13" s="1"/>
  <c r="J186" i="13"/>
  <c r="A187" i="13"/>
  <c r="C187" i="13"/>
  <c r="D187" i="13"/>
  <c r="F187" i="13"/>
  <c r="G187" i="13"/>
  <c r="H187" i="13"/>
  <c r="I187" i="13"/>
  <c r="J187" i="13"/>
  <c r="P187" i="13" s="1"/>
  <c r="A188" i="13"/>
  <c r="C188" i="13"/>
  <c r="D188" i="13"/>
  <c r="F188" i="13"/>
  <c r="G188" i="13"/>
  <c r="H188" i="13"/>
  <c r="I188" i="13"/>
  <c r="J188" i="13"/>
  <c r="A189" i="13"/>
  <c r="C189" i="13"/>
  <c r="D189" i="13"/>
  <c r="F189" i="13"/>
  <c r="G189" i="13"/>
  <c r="H189" i="13"/>
  <c r="I189" i="13"/>
  <c r="J189" i="13"/>
  <c r="A190" i="13"/>
  <c r="C190" i="13"/>
  <c r="D190" i="13"/>
  <c r="F190" i="13"/>
  <c r="G190" i="13"/>
  <c r="H190" i="13"/>
  <c r="I190" i="13"/>
  <c r="O190" i="13" s="1"/>
  <c r="J190" i="13"/>
  <c r="A191" i="13"/>
  <c r="C191" i="13"/>
  <c r="D191" i="13"/>
  <c r="F191" i="13"/>
  <c r="G191" i="13"/>
  <c r="H191" i="13"/>
  <c r="I191" i="13"/>
  <c r="J191" i="13"/>
  <c r="A192" i="13"/>
  <c r="C192" i="13"/>
  <c r="D192" i="13"/>
  <c r="F192" i="13"/>
  <c r="G192" i="13"/>
  <c r="H192" i="13"/>
  <c r="I192" i="13"/>
  <c r="O192" i="13"/>
  <c r="J192" i="13"/>
  <c r="A193" i="13"/>
  <c r="C193" i="13"/>
  <c r="D193" i="13"/>
  <c r="F193" i="13"/>
  <c r="G193" i="13"/>
  <c r="H193" i="13"/>
  <c r="I193" i="13"/>
  <c r="J193" i="13"/>
  <c r="A194" i="13"/>
  <c r="C194" i="13"/>
  <c r="D194" i="13"/>
  <c r="F194" i="13"/>
  <c r="G194" i="13"/>
  <c r="H194" i="13"/>
  <c r="I194" i="13"/>
  <c r="O194" i="13"/>
  <c r="J194" i="13"/>
  <c r="A195" i="13"/>
  <c r="C195" i="13"/>
  <c r="D195" i="13"/>
  <c r="F195" i="13"/>
  <c r="G195" i="13"/>
  <c r="H195" i="13"/>
  <c r="I195" i="13"/>
  <c r="J195" i="13"/>
  <c r="A196" i="13"/>
  <c r="C196" i="13"/>
  <c r="D196" i="13"/>
  <c r="F196" i="13"/>
  <c r="G196" i="13"/>
  <c r="H196" i="13"/>
  <c r="I196" i="13"/>
  <c r="O196" i="13"/>
  <c r="J196" i="13"/>
  <c r="A197" i="13"/>
  <c r="C197" i="13"/>
  <c r="D197" i="13"/>
  <c r="F197" i="13"/>
  <c r="G197" i="13"/>
  <c r="H197" i="13"/>
  <c r="I197" i="13"/>
  <c r="J197" i="13"/>
  <c r="A198" i="13"/>
  <c r="C198" i="13"/>
  <c r="D198" i="13"/>
  <c r="F198" i="13"/>
  <c r="G198" i="13"/>
  <c r="H198" i="13"/>
  <c r="I198" i="13"/>
  <c r="J198" i="13"/>
  <c r="P198" i="13"/>
  <c r="A199" i="13"/>
  <c r="C199" i="13"/>
  <c r="D199" i="13"/>
  <c r="F199" i="13"/>
  <c r="G199" i="13"/>
  <c r="H199" i="13"/>
  <c r="I199" i="13"/>
  <c r="J199" i="13"/>
  <c r="P199" i="13"/>
  <c r="A200" i="13"/>
  <c r="C200" i="13"/>
  <c r="D200" i="13"/>
  <c r="F200" i="13"/>
  <c r="G200" i="13"/>
  <c r="H200" i="13"/>
  <c r="I200" i="13"/>
  <c r="J200" i="13"/>
  <c r="A201" i="13"/>
  <c r="C201" i="13"/>
  <c r="D201" i="13"/>
  <c r="F201" i="13"/>
  <c r="G201" i="13"/>
  <c r="H201" i="13"/>
  <c r="I201" i="13"/>
  <c r="J201" i="13"/>
  <c r="A202" i="13"/>
  <c r="C202" i="13"/>
  <c r="D202" i="13"/>
  <c r="F202" i="13"/>
  <c r="G202" i="13"/>
  <c r="H202" i="13"/>
  <c r="I202" i="13"/>
  <c r="J202" i="13"/>
  <c r="A203" i="13"/>
  <c r="C203" i="13"/>
  <c r="D203" i="13"/>
  <c r="F203" i="13"/>
  <c r="G203" i="13"/>
  <c r="H203" i="13"/>
  <c r="I203" i="13"/>
  <c r="J203" i="13"/>
  <c r="A204" i="13"/>
  <c r="C204" i="13"/>
  <c r="D204" i="13"/>
  <c r="F204" i="13"/>
  <c r="G204" i="13"/>
  <c r="H204" i="13"/>
  <c r="I204" i="13"/>
  <c r="J204" i="13"/>
  <c r="A205" i="13"/>
  <c r="C205" i="13"/>
  <c r="D205" i="13"/>
  <c r="F205" i="13"/>
  <c r="G205" i="13"/>
  <c r="H205" i="13"/>
  <c r="I205" i="13"/>
  <c r="J205" i="13"/>
  <c r="A206" i="13"/>
  <c r="C206" i="13"/>
  <c r="D206" i="13"/>
  <c r="F206" i="13"/>
  <c r="G206" i="13"/>
  <c r="H206" i="13"/>
  <c r="I206" i="13"/>
  <c r="J206" i="13"/>
  <c r="A207" i="13"/>
  <c r="C207" i="13"/>
  <c r="D207" i="13"/>
  <c r="F207" i="13"/>
  <c r="G207" i="13"/>
  <c r="H207" i="13"/>
  <c r="I207" i="13"/>
  <c r="J207" i="13"/>
  <c r="P207" i="13" s="1"/>
  <c r="Q207" i="13" s="1"/>
  <c r="A208" i="13"/>
  <c r="C208" i="13"/>
  <c r="D208" i="13"/>
  <c r="F208" i="13"/>
  <c r="G208" i="13"/>
  <c r="H208" i="13"/>
  <c r="I208" i="13"/>
  <c r="J208" i="13"/>
  <c r="A209" i="13"/>
  <c r="C209" i="13"/>
  <c r="D209" i="13"/>
  <c r="F209" i="13"/>
  <c r="G209" i="13"/>
  <c r="H209" i="13"/>
  <c r="I209" i="13"/>
  <c r="J209" i="13"/>
  <c r="A210" i="13"/>
  <c r="C210" i="13"/>
  <c r="D210" i="13"/>
  <c r="F210" i="13"/>
  <c r="G210" i="13"/>
  <c r="H210" i="13"/>
  <c r="I210" i="13"/>
  <c r="J210" i="13"/>
  <c r="P210" i="13"/>
  <c r="A211" i="13"/>
  <c r="C211" i="13"/>
  <c r="D211" i="13"/>
  <c r="F211" i="13"/>
  <c r="G211" i="13"/>
  <c r="H211" i="13"/>
  <c r="I211" i="13"/>
  <c r="J211" i="13"/>
  <c r="A212" i="13"/>
  <c r="C212" i="13"/>
  <c r="D212" i="13"/>
  <c r="F212" i="13"/>
  <c r="G212" i="13"/>
  <c r="H212" i="13"/>
  <c r="I212" i="13"/>
  <c r="J212" i="13"/>
  <c r="A213" i="13"/>
  <c r="C213" i="13"/>
  <c r="D213" i="13"/>
  <c r="F213" i="13"/>
  <c r="G213" i="13"/>
  <c r="H213" i="13"/>
  <c r="I213" i="13"/>
  <c r="J213" i="13"/>
  <c r="P213" i="13"/>
  <c r="A214" i="13"/>
  <c r="C214" i="13"/>
  <c r="D214" i="13"/>
  <c r="F214" i="13"/>
  <c r="G214" i="13"/>
  <c r="H214" i="13"/>
  <c r="I214" i="13"/>
  <c r="J214" i="13"/>
  <c r="A215" i="13"/>
  <c r="C215" i="13"/>
  <c r="D215" i="13"/>
  <c r="F215" i="13"/>
  <c r="G215" i="13"/>
  <c r="H215" i="13"/>
  <c r="I215" i="13"/>
  <c r="J215" i="13"/>
  <c r="P215" i="13"/>
  <c r="A216" i="13"/>
  <c r="C216" i="13"/>
  <c r="D216" i="13"/>
  <c r="F216" i="13"/>
  <c r="G216" i="13"/>
  <c r="H216" i="13"/>
  <c r="I216" i="13"/>
  <c r="J216" i="13"/>
  <c r="A217" i="13"/>
  <c r="C217" i="13"/>
  <c r="D217" i="13"/>
  <c r="F217" i="13"/>
  <c r="G217" i="13"/>
  <c r="H217" i="13"/>
  <c r="I217" i="13"/>
  <c r="J217" i="13"/>
  <c r="A218" i="13"/>
  <c r="C218" i="13"/>
  <c r="D218" i="13"/>
  <c r="F218" i="13"/>
  <c r="G218" i="13"/>
  <c r="H218" i="13"/>
  <c r="I218" i="13"/>
  <c r="J218" i="13"/>
  <c r="A219" i="13"/>
  <c r="C219" i="13"/>
  <c r="D219" i="13"/>
  <c r="F219" i="13"/>
  <c r="G219" i="13"/>
  <c r="H219" i="13"/>
  <c r="I219" i="13"/>
  <c r="J219" i="13"/>
  <c r="A220" i="13"/>
  <c r="C220" i="13"/>
  <c r="D220" i="13"/>
  <c r="F220" i="13"/>
  <c r="G220" i="13"/>
  <c r="H220" i="13"/>
  <c r="I220" i="13"/>
  <c r="J220" i="13"/>
  <c r="A221" i="13"/>
  <c r="C221" i="13"/>
  <c r="D221" i="13"/>
  <c r="F221" i="13"/>
  <c r="G221" i="13"/>
  <c r="H221" i="13"/>
  <c r="I221" i="13"/>
  <c r="J221" i="13"/>
  <c r="A222" i="13"/>
  <c r="C222" i="13"/>
  <c r="D222" i="13"/>
  <c r="F222" i="13"/>
  <c r="G222" i="13"/>
  <c r="H222" i="13"/>
  <c r="I222" i="13"/>
  <c r="J222" i="13"/>
  <c r="P222" i="13"/>
  <c r="A223" i="13"/>
  <c r="C223" i="13"/>
  <c r="D223" i="13"/>
  <c r="F223" i="13"/>
  <c r="G223" i="13"/>
  <c r="H223" i="13"/>
  <c r="I223" i="13"/>
  <c r="J223" i="13"/>
  <c r="A224" i="13"/>
  <c r="C224" i="13"/>
  <c r="D224" i="13"/>
  <c r="F224" i="13"/>
  <c r="G224" i="13"/>
  <c r="H224" i="13"/>
  <c r="I224" i="13"/>
  <c r="J224" i="13"/>
  <c r="P224" i="13" s="1"/>
  <c r="A225" i="13"/>
  <c r="C225" i="13"/>
  <c r="D225" i="13"/>
  <c r="F225" i="13"/>
  <c r="G225" i="13"/>
  <c r="H225" i="13"/>
  <c r="I225" i="13"/>
  <c r="J225" i="13"/>
  <c r="P225" i="13" s="1"/>
  <c r="A226" i="13"/>
  <c r="C226" i="13"/>
  <c r="D226" i="13"/>
  <c r="F226" i="13"/>
  <c r="G226" i="13"/>
  <c r="H226" i="13"/>
  <c r="I226" i="13"/>
  <c r="J226" i="13"/>
  <c r="P226" i="13" s="1"/>
  <c r="Q226" i="13" s="1"/>
  <c r="A227" i="13"/>
  <c r="C227" i="13"/>
  <c r="D227" i="13"/>
  <c r="F227" i="13"/>
  <c r="G227" i="13"/>
  <c r="H227" i="13"/>
  <c r="I227" i="13"/>
  <c r="J227" i="13"/>
  <c r="P227" i="13" s="1"/>
  <c r="A228" i="13"/>
  <c r="C228" i="13"/>
  <c r="D228" i="13"/>
  <c r="F228" i="13"/>
  <c r="G228" i="13"/>
  <c r="H228" i="13"/>
  <c r="I228" i="13"/>
  <c r="J228" i="13"/>
  <c r="P228" i="13" s="1"/>
  <c r="A229" i="13"/>
  <c r="C229" i="13"/>
  <c r="D229" i="13"/>
  <c r="F229" i="13"/>
  <c r="G229" i="13"/>
  <c r="H229" i="13"/>
  <c r="I229" i="13"/>
  <c r="J229" i="13"/>
  <c r="A230" i="13"/>
  <c r="C230" i="13"/>
  <c r="D230" i="13"/>
  <c r="F230" i="13"/>
  <c r="G230" i="13"/>
  <c r="H230" i="13"/>
  <c r="I230" i="13"/>
  <c r="J230" i="13"/>
  <c r="P230" i="13"/>
  <c r="A231" i="13"/>
  <c r="C231" i="13"/>
  <c r="D231" i="13"/>
  <c r="F231" i="13"/>
  <c r="G231" i="13"/>
  <c r="H231" i="13"/>
  <c r="I231" i="13"/>
  <c r="J231" i="13"/>
  <c r="P231" i="13"/>
  <c r="A232" i="13"/>
  <c r="C232" i="13"/>
  <c r="D232" i="13"/>
  <c r="F232" i="13"/>
  <c r="G232" i="13"/>
  <c r="H232" i="13"/>
  <c r="I232" i="13"/>
  <c r="J232" i="13"/>
  <c r="P232" i="13"/>
  <c r="A233" i="13"/>
  <c r="C233" i="13"/>
  <c r="D233" i="13"/>
  <c r="F233" i="13"/>
  <c r="G233" i="13"/>
  <c r="H233" i="13"/>
  <c r="I233" i="13"/>
  <c r="J233" i="13"/>
  <c r="P233" i="13"/>
  <c r="A234" i="13"/>
  <c r="C234" i="13"/>
  <c r="D234" i="13"/>
  <c r="F234" i="13"/>
  <c r="G234" i="13"/>
  <c r="H234" i="13"/>
  <c r="I234" i="13"/>
  <c r="J234" i="13"/>
  <c r="P234" i="13"/>
  <c r="A235" i="13"/>
  <c r="C235" i="13"/>
  <c r="D235" i="13"/>
  <c r="F235" i="13"/>
  <c r="G235" i="13"/>
  <c r="H235" i="13"/>
  <c r="I235" i="13"/>
  <c r="O235" i="13"/>
  <c r="Q235" i="13"/>
  <c r="J235" i="13"/>
  <c r="P235" i="13"/>
  <c r="A236" i="13"/>
  <c r="C236" i="13"/>
  <c r="D236" i="13"/>
  <c r="F236" i="13"/>
  <c r="G236" i="13"/>
  <c r="H236" i="13"/>
  <c r="I236" i="13"/>
  <c r="J236" i="13"/>
  <c r="A237" i="13"/>
  <c r="C237" i="13"/>
  <c r="D237" i="13"/>
  <c r="F237" i="13"/>
  <c r="G237" i="13"/>
  <c r="H237" i="13"/>
  <c r="I237" i="13"/>
  <c r="J237" i="13"/>
  <c r="P237" i="13" s="1"/>
  <c r="A238" i="13"/>
  <c r="C238" i="13"/>
  <c r="D238" i="13"/>
  <c r="F238" i="13"/>
  <c r="G238" i="13"/>
  <c r="H238" i="13"/>
  <c r="I238" i="13"/>
  <c r="J238" i="13"/>
  <c r="P238" i="13" s="1"/>
  <c r="A239" i="13"/>
  <c r="C239" i="13"/>
  <c r="D239" i="13"/>
  <c r="F239" i="13"/>
  <c r="G239" i="13"/>
  <c r="H239" i="13"/>
  <c r="I239" i="13"/>
  <c r="J239" i="13"/>
  <c r="P239" i="13"/>
  <c r="A240" i="13"/>
  <c r="C240" i="13"/>
  <c r="D240" i="13"/>
  <c r="F240" i="13"/>
  <c r="G240" i="13"/>
  <c r="H240" i="13"/>
  <c r="I240" i="13"/>
  <c r="J240" i="13"/>
  <c r="A241" i="13"/>
  <c r="C241" i="13"/>
  <c r="D241" i="13"/>
  <c r="F241" i="13"/>
  <c r="G241" i="13"/>
  <c r="H241" i="13"/>
  <c r="I241" i="13"/>
  <c r="O241" i="13" s="1"/>
  <c r="Q241" i="13" s="1"/>
  <c r="J241" i="13"/>
  <c r="P241" i="13"/>
  <c r="A242" i="13"/>
  <c r="C242" i="13"/>
  <c r="D242" i="13"/>
  <c r="F242" i="13"/>
  <c r="G242" i="13"/>
  <c r="H242" i="13"/>
  <c r="I242" i="13"/>
  <c r="J242" i="13"/>
  <c r="A243" i="13"/>
  <c r="C243" i="13"/>
  <c r="D243" i="13"/>
  <c r="F243" i="13"/>
  <c r="G243" i="13"/>
  <c r="H243" i="13"/>
  <c r="I243" i="13"/>
  <c r="J243" i="13"/>
  <c r="P243" i="13"/>
  <c r="A244" i="13"/>
  <c r="C244" i="13"/>
  <c r="D244" i="13"/>
  <c r="F244" i="13"/>
  <c r="G244" i="13"/>
  <c r="H244" i="13"/>
  <c r="I244" i="13"/>
  <c r="O244" i="13" s="1"/>
  <c r="J244" i="13"/>
  <c r="A245" i="13"/>
  <c r="C245" i="13"/>
  <c r="D245" i="13"/>
  <c r="F245" i="13"/>
  <c r="G245" i="13"/>
  <c r="H245" i="13"/>
  <c r="I245" i="13"/>
  <c r="J245" i="13"/>
  <c r="P245" i="13"/>
  <c r="A246" i="13"/>
  <c r="C246" i="13"/>
  <c r="D246" i="13"/>
  <c r="F246" i="13"/>
  <c r="G246" i="13"/>
  <c r="H246" i="13"/>
  <c r="I246" i="13"/>
  <c r="J246" i="13"/>
  <c r="A247" i="13"/>
  <c r="C247" i="13"/>
  <c r="D247" i="13"/>
  <c r="F247" i="13"/>
  <c r="G247" i="13"/>
  <c r="H247" i="13"/>
  <c r="I247" i="13"/>
  <c r="J247" i="13"/>
  <c r="P247" i="13" s="1"/>
  <c r="A248" i="13"/>
  <c r="C248" i="13"/>
  <c r="D248" i="13"/>
  <c r="F248" i="13"/>
  <c r="G248" i="13"/>
  <c r="H248" i="13"/>
  <c r="I248" i="13"/>
  <c r="J248" i="13"/>
  <c r="A249" i="13"/>
  <c r="C249" i="13"/>
  <c r="D249" i="13"/>
  <c r="F249" i="13"/>
  <c r="G249" i="13"/>
  <c r="H249" i="13"/>
  <c r="I249" i="13"/>
  <c r="J249" i="13"/>
  <c r="P249" i="13"/>
  <c r="A250" i="13"/>
  <c r="C250" i="13"/>
  <c r="D250" i="13"/>
  <c r="F250" i="13"/>
  <c r="G250" i="13"/>
  <c r="H250" i="13"/>
  <c r="I250" i="13"/>
  <c r="J250" i="13"/>
  <c r="A251" i="13"/>
  <c r="C251" i="13"/>
  <c r="D251" i="13"/>
  <c r="F251" i="13"/>
  <c r="G251" i="13"/>
  <c r="H251" i="13"/>
  <c r="I251" i="13"/>
  <c r="J251" i="13"/>
  <c r="P251" i="13"/>
  <c r="A252" i="13"/>
  <c r="C252" i="13"/>
  <c r="D252" i="13"/>
  <c r="F252" i="13"/>
  <c r="G252" i="13"/>
  <c r="H252" i="13"/>
  <c r="I252" i="13"/>
  <c r="J252" i="13"/>
  <c r="A253" i="13"/>
  <c r="G118" i="13"/>
  <c r="H118" i="13"/>
  <c r="I118" i="13"/>
  <c r="K118" i="13"/>
  <c r="L118" i="13"/>
  <c r="M118" i="13"/>
  <c r="A119" i="13"/>
  <c r="D119" i="13"/>
  <c r="E119" i="13"/>
  <c r="F119" i="13"/>
  <c r="G119" i="13"/>
  <c r="H119" i="13"/>
  <c r="K119" i="13"/>
  <c r="L119" i="13"/>
  <c r="A120" i="13"/>
  <c r="D120" i="13"/>
  <c r="E120" i="13"/>
  <c r="F120" i="13"/>
  <c r="G120" i="13"/>
  <c r="H120" i="13"/>
  <c r="K120" i="13"/>
  <c r="L120" i="13"/>
  <c r="A121" i="13"/>
  <c r="D121" i="13"/>
  <c r="E121" i="13"/>
  <c r="F121" i="13"/>
  <c r="G121" i="13"/>
  <c r="H121" i="13"/>
  <c r="K121" i="13"/>
  <c r="L121" i="13"/>
  <c r="A122" i="13"/>
  <c r="D122" i="13"/>
  <c r="E122" i="13"/>
  <c r="F122" i="13"/>
  <c r="G122" i="13"/>
  <c r="H122" i="13"/>
  <c r="K122" i="13"/>
  <c r="L122" i="13"/>
  <c r="A123" i="13"/>
  <c r="D123" i="13"/>
  <c r="E123" i="13"/>
  <c r="F123" i="13"/>
  <c r="G123" i="13"/>
  <c r="H123" i="13"/>
  <c r="K123" i="13"/>
  <c r="L123" i="13"/>
  <c r="A124" i="13"/>
  <c r="D124" i="13"/>
  <c r="E124" i="13"/>
  <c r="F124" i="13"/>
  <c r="G124" i="13"/>
  <c r="H124" i="13"/>
  <c r="K124" i="13"/>
  <c r="L124" i="13"/>
  <c r="A125" i="13"/>
  <c r="D125" i="13"/>
  <c r="E125" i="13"/>
  <c r="F125" i="13"/>
  <c r="G125" i="13"/>
  <c r="H125" i="13"/>
  <c r="K125" i="13"/>
  <c r="M125" i="13" s="1"/>
  <c r="L125" i="13"/>
  <c r="A126" i="13"/>
  <c r="D126" i="13"/>
  <c r="E126" i="13"/>
  <c r="F126" i="13"/>
  <c r="G126" i="13"/>
  <c r="H126" i="13"/>
  <c r="K126" i="13"/>
  <c r="L126" i="13"/>
  <c r="A127" i="13"/>
  <c r="D127" i="13"/>
  <c r="E127" i="13"/>
  <c r="F127" i="13"/>
  <c r="G127" i="13"/>
  <c r="H127" i="13"/>
  <c r="K127" i="13"/>
  <c r="L127" i="13"/>
  <c r="A128" i="13"/>
  <c r="D128" i="13"/>
  <c r="E128" i="13"/>
  <c r="F128" i="13"/>
  <c r="G128" i="13"/>
  <c r="H128" i="13"/>
  <c r="K128" i="13"/>
  <c r="L128" i="13"/>
  <c r="A129" i="13"/>
  <c r="D129" i="13"/>
  <c r="E129" i="13"/>
  <c r="F129" i="13"/>
  <c r="G129" i="13"/>
  <c r="H129" i="13"/>
  <c r="K129" i="13"/>
  <c r="L129" i="13"/>
  <c r="A130" i="13"/>
  <c r="D130" i="13"/>
  <c r="E130" i="13"/>
  <c r="F130" i="13"/>
  <c r="G130" i="13"/>
  <c r="H130" i="13"/>
  <c r="K130" i="13"/>
  <c r="L130" i="13"/>
  <c r="A131" i="13"/>
  <c r="D131" i="13"/>
  <c r="E131" i="13"/>
  <c r="F131" i="13"/>
  <c r="G131" i="13"/>
  <c r="H131" i="13"/>
  <c r="K131" i="13"/>
  <c r="L131" i="13"/>
  <c r="A132" i="13"/>
  <c r="D132" i="13"/>
  <c r="E132" i="13"/>
  <c r="F132" i="13"/>
  <c r="G132" i="13"/>
  <c r="I132" i="13" s="1"/>
  <c r="H132" i="13"/>
  <c r="K132" i="13"/>
  <c r="L132" i="13"/>
  <c r="A133" i="13"/>
  <c r="D133" i="13"/>
  <c r="E133" i="13"/>
  <c r="F133" i="13"/>
  <c r="G133" i="13"/>
  <c r="H133" i="13"/>
  <c r="K133" i="13"/>
  <c r="L133" i="13"/>
  <c r="A134" i="13"/>
  <c r="D134" i="13"/>
  <c r="E134" i="13"/>
  <c r="F134" i="13"/>
  <c r="G134" i="13"/>
  <c r="H134" i="13"/>
  <c r="K134" i="13"/>
  <c r="M134" i="13" s="1"/>
  <c r="L134" i="13"/>
  <c r="A135" i="13"/>
  <c r="D135" i="13"/>
  <c r="E135" i="13"/>
  <c r="F135" i="13"/>
  <c r="G135" i="13"/>
  <c r="I135" i="13" s="1"/>
  <c r="H135" i="13"/>
  <c r="K135" i="13"/>
  <c r="L135" i="13"/>
  <c r="A136" i="13"/>
  <c r="D136" i="13"/>
  <c r="E136" i="13"/>
  <c r="F136" i="13"/>
  <c r="G136" i="13"/>
  <c r="H136" i="13"/>
  <c r="K136" i="13"/>
  <c r="L136" i="13"/>
  <c r="A137" i="13"/>
  <c r="D137" i="13"/>
  <c r="E137" i="13"/>
  <c r="F137" i="13"/>
  <c r="G137" i="13"/>
  <c r="H137" i="13"/>
  <c r="K137" i="13"/>
  <c r="M137" i="13" s="1"/>
  <c r="L137" i="13"/>
  <c r="A138" i="13"/>
  <c r="D138" i="13"/>
  <c r="E138" i="13"/>
  <c r="F138" i="13"/>
  <c r="G138" i="13"/>
  <c r="H138" i="13"/>
  <c r="K138" i="13"/>
  <c r="L138" i="13"/>
  <c r="A139" i="13"/>
  <c r="D139" i="13"/>
  <c r="E139" i="13"/>
  <c r="F139" i="13"/>
  <c r="G139" i="13"/>
  <c r="H139" i="13"/>
  <c r="K139" i="13"/>
  <c r="L139" i="13"/>
  <c r="A140" i="13"/>
  <c r="D140" i="13"/>
  <c r="E140" i="13"/>
  <c r="F140" i="13"/>
  <c r="G140" i="13"/>
  <c r="H140" i="13"/>
  <c r="K140" i="13"/>
  <c r="L140" i="13"/>
  <c r="A141" i="13"/>
  <c r="D141" i="13"/>
  <c r="E141" i="13"/>
  <c r="F141" i="13"/>
  <c r="G141" i="13"/>
  <c r="H141" i="13"/>
  <c r="K141" i="13"/>
  <c r="L141" i="13"/>
  <c r="A142" i="13"/>
  <c r="D142" i="13"/>
  <c r="E142" i="13"/>
  <c r="F142" i="13"/>
  <c r="G142" i="13"/>
  <c r="H142" i="13"/>
  <c r="K142" i="13"/>
  <c r="L142" i="13"/>
  <c r="A143" i="13"/>
  <c r="D143" i="13"/>
  <c r="E143" i="13"/>
  <c r="F143" i="13"/>
  <c r="G143" i="13"/>
  <c r="H143" i="13"/>
  <c r="K143" i="13"/>
  <c r="M143" i="13" s="1"/>
  <c r="L143" i="13"/>
  <c r="A144" i="13"/>
  <c r="K144" i="13"/>
  <c r="L144" i="13"/>
  <c r="D117" i="13"/>
  <c r="E117" i="13"/>
  <c r="F117" i="13"/>
  <c r="G117" i="13"/>
  <c r="K117" i="13"/>
  <c r="A117" i="13"/>
  <c r="I58" i="13"/>
  <c r="H65" i="13"/>
  <c r="I65" i="13" s="1"/>
  <c r="Z65" i="13" s="1"/>
  <c r="T65" i="13" s="1"/>
  <c r="BB2" i="14" s="1"/>
  <c r="G65" i="13"/>
  <c r="H63" i="13"/>
  <c r="I63" i="13" s="1"/>
  <c r="Z63" i="13" s="1"/>
  <c r="T63" i="13" s="1"/>
  <c r="BA2" i="14" s="1"/>
  <c r="G63" i="13"/>
  <c r="H61" i="13"/>
  <c r="I61" i="13" s="1"/>
  <c r="Z61" i="13" s="1"/>
  <c r="T61" i="13" s="1"/>
  <c r="AZ2" i="14" s="1"/>
  <c r="G61" i="13"/>
  <c r="H57" i="13"/>
  <c r="I57" i="13" s="1"/>
  <c r="G57" i="13"/>
  <c r="I59" i="13"/>
  <c r="I60" i="13"/>
  <c r="I62" i="13"/>
  <c r="I64" i="13"/>
  <c r="I66" i="13"/>
  <c r="I67" i="13"/>
  <c r="G39" i="13"/>
  <c r="G37" i="13"/>
  <c r="G28" i="13"/>
  <c r="G27" i="13"/>
  <c r="G25" i="13"/>
  <c r="P86" i="6"/>
  <c r="O86" i="6"/>
  <c r="Q86" i="6" s="1"/>
  <c r="R235" i="13" s="1"/>
  <c r="N86" i="6"/>
  <c r="N235" i="13" s="1"/>
  <c r="P85" i="6"/>
  <c r="O85" i="6"/>
  <c r="N85" i="6"/>
  <c r="N234" i="13" s="1"/>
  <c r="P84" i="6"/>
  <c r="Q84" i="6"/>
  <c r="R233" i="13" s="1"/>
  <c r="O84" i="6"/>
  <c r="N84" i="6"/>
  <c r="N233" i="13" s="1"/>
  <c r="P83" i="6"/>
  <c r="Q83" i="6" s="1"/>
  <c r="R232" i="13" s="1"/>
  <c r="O83" i="6"/>
  <c r="N83" i="6"/>
  <c r="N232" i="13" s="1"/>
  <c r="P82" i="6"/>
  <c r="O82" i="6"/>
  <c r="Q82" i="6" s="1"/>
  <c r="R231" i="13" s="1"/>
  <c r="N82" i="6"/>
  <c r="N231" i="13" s="1"/>
  <c r="P81" i="6"/>
  <c r="O81" i="6"/>
  <c r="Q81" i="6" s="1"/>
  <c r="R230" i="13" s="1"/>
  <c r="N81" i="6"/>
  <c r="N230" i="13" s="1"/>
  <c r="P80" i="6"/>
  <c r="Q80" i="6" s="1"/>
  <c r="R229" i="13" s="1"/>
  <c r="O80" i="6"/>
  <c r="N80" i="6"/>
  <c r="N229" i="13" s="1"/>
  <c r="P79" i="6"/>
  <c r="O79" i="6"/>
  <c r="N79" i="6"/>
  <c r="N228" i="13" s="1"/>
  <c r="P78" i="6"/>
  <c r="Q78" i="6" s="1"/>
  <c r="R227" i="13" s="1"/>
  <c r="O78" i="6"/>
  <c r="N78" i="6"/>
  <c r="N227" i="13" s="1"/>
  <c r="P77" i="6"/>
  <c r="Q77" i="6"/>
  <c r="R226" i="13" s="1"/>
  <c r="O77" i="6"/>
  <c r="N77" i="6"/>
  <c r="N226" i="13" s="1"/>
  <c r="P76" i="6"/>
  <c r="O76" i="6"/>
  <c r="Q76" i="6" s="1"/>
  <c r="R225" i="13" s="1"/>
  <c r="N76" i="6"/>
  <c r="N225" i="13" s="1"/>
  <c r="P75" i="6"/>
  <c r="Q75" i="6" s="1"/>
  <c r="R224" i="13" s="1"/>
  <c r="O75" i="6"/>
  <c r="N75" i="6"/>
  <c r="N224" i="13" s="1"/>
  <c r="P74" i="6"/>
  <c r="O74" i="6"/>
  <c r="N74" i="6"/>
  <c r="N223" i="13" s="1"/>
  <c r="P73" i="6"/>
  <c r="O73" i="6"/>
  <c r="N73" i="6"/>
  <c r="N222" i="13" s="1"/>
  <c r="P72" i="6"/>
  <c r="Q72" i="6"/>
  <c r="R221" i="13" s="1"/>
  <c r="O72" i="6"/>
  <c r="N72" i="6"/>
  <c r="N221" i="13" s="1"/>
  <c r="P71" i="6"/>
  <c r="Q71" i="6"/>
  <c r="R220" i="13" s="1"/>
  <c r="O71" i="6"/>
  <c r="N71" i="6"/>
  <c r="N220" i="13" s="1"/>
  <c r="P70" i="6"/>
  <c r="O70" i="6"/>
  <c r="N70" i="6"/>
  <c r="N219" i="13" s="1"/>
  <c r="P69" i="6"/>
  <c r="O69" i="6"/>
  <c r="N69" i="6"/>
  <c r="N218" i="13" s="1"/>
  <c r="P68" i="6"/>
  <c r="O68" i="6"/>
  <c r="Q68" i="6" s="1"/>
  <c r="R217" i="13" s="1"/>
  <c r="N68" i="6"/>
  <c r="N217" i="13" s="1"/>
  <c r="P67" i="6"/>
  <c r="O67" i="6"/>
  <c r="N67" i="6"/>
  <c r="N216" i="13" s="1"/>
  <c r="P66" i="6"/>
  <c r="Q66" i="6"/>
  <c r="R215" i="13" s="1"/>
  <c r="O66" i="6"/>
  <c r="N66" i="6"/>
  <c r="N215" i="13" s="1"/>
  <c r="P65" i="6"/>
  <c r="Q65" i="6" s="1"/>
  <c r="R214" i="13" s="1"/>
  <c r="O65" i="6"/>
  <c r="N65" i="6"/>
  <c r="N214" i="13" s="1"/>
  <c r="P64" i="6"/>
  <c r="O64" i="6"/>
  <c r="Q64" i="6" s="1"/>
  <c r="R213" i="13" s="1"/>
  <c r="N64" i="6"/>
  <c r="N213" i="13" s="1"/>
  <c r="P63" i="6"/>
  <c r="O63" i="6"/>
  <c r="Q63" i="6" s="1"/>
  <c r="R212" i="13" s="1"/>
  <c r="N63" i="6"/>
  <c r="N212" i="13" s="1"/>
  <c r="P62" i="6"/>
  <c r="Q62" i="6" s="1"/>
  <c r="R211" i="13" s="1"/>
  <c r="O62" i="6"/>
  <c r="N62" i="6"/>
  <c r="N211" i="13" s="1"/>
  <c r="P61" i="6"/>
  <c r="O61" i="6"/>
  <c r="N61" i="6"/>
  <c r="N210" i="13" s="1"/>
  <c r="P60" i="6"/>
  <c r="Q60" i="6" s="1"/>
  <c r="R209" i="13" s="1"/>
  <c r="O60" i="6"/>
  <c r="N60" i="6"/>
  <c r="N209" i="13" s="1"/>
  <c r="P59" i="6"/>
  <c r="Q59" i="6"/>
  <c r="R208" i="13" s="1"/>
  <c r="O59" i="6"/>
  <c r="N59" i="6"/>
  <c r="N208" i="13" s="1"/>
  <c r="P58" i="6"/>
  <c r="O58" i="6"/>
  <c r="Q58" i="6" s="1"/>
  <c r="R207" i="13" s="1"/>
  <c r="N58" i="6"/>
  <c r="N207" i="13" s="1"/>
  <c r="P57" i="6"/>
  <c r="Q57" i="6" s="1"/>
  <c r="R206" i="13" s="1"/>
  <c r="O57" i="6"/>
  <c r="N57" i="6"/>
  <c r="N206" i="13" s="1"/>
  <c r="P56" i="6"/>
  <c r="O56" i="6"/>
  <c r="N56" i="6"/>
  <c r="N205" i="13" s="1"/>
  <c r="P55" i="6"/>
  <c r="O55" i="6"/>
  <c r="N55" i="6"/>
  <c r="N204" i="13" s="1"/>
  <c r="H12" i="1"/>
  <c r="H11" i="1"/>
  <c r="E11" i="1"/>
  <c r="E12" i="1" s="1"/>
  <c r="F151" i="5"/>
  <c r="F137" i="5"/>
  <c r="F109" i="5"/>
  <c r="E84" i="5"/>
  <c r="D84" i="5"/>
  <c r="D158" i="5" s="1"/>
  <c r="G20" i="4"/>
  <c r="F84" i="5" s="1"/>
  <c r="F20" i="4"/>
  <c r="G30" i="5"/>
  <c r="J7" i="4"/>
  <c r="L5" i="6"/>
  <c r="D13" i="9"/>
  <c r="I388" i="13" s="1"/>
  <c r="C13" i="9"/>
  <c r="D11" i="12" s="1"/>
  <c r="D401" i="13" s="1"/>
  <c r="K15" i="13" s="1"/>
  <c r="D12" i="9"/>
  <c r="I387" i="13" s="1"/>
  <c r="C12" i="9"/>
  <c r="G387" i="13" s="1"/>
  <c r="E11" i="9"/>
  <c r="K386" i="13" s="1"/>
  <c r="E10" i="9"/>
  <c r="K385" i="13" s="1"/>
  <c r="E9" i="9"/>
  <c r="K384" i="13" s="1"/>
  <c r="E8" i="9"/>
  <c r="K383" i="13" s="1"/>
  <c r="E7" i="9"/>
  <c r="K382" i="13" s="1"/>
  <c r="E6" i="9"/>
  <c r="K381" i="13" s="1"/>
  <c r="E40" i="8"/>
  <c r="H359" i="13" s="1"/>
  <c r="E41" i="8"/>
  <c r="H360" i="13" s="1"/>
  <c r="E42" i="8"/>
  <c r="F41" i="8"/>
  <c r="J360" i="13" s="1"/>
  <c r="F42" i="8"/>
  <c r="J361" i="13" s="1"/>
  <c r="D9" i="12"/>
  <c r="D399" i="13" s="1"/>
  <c r="K13" i="13" s="1"/>
  <c r="E34" i="8"/>
  <c r="H353" i="13" s="1"/>
  <c r="F34" i="8"/>
  <c r="J353" i="13" s="1"/>
  <c r="E7" i="12"/>
  <c r="F397" i="13" s="1"/>
  <c r="M11" i="13" s="1"/>
  <c r="C32" i="7"/>
  <c r="E32" i="7"/>
  <c r="J303" i="13" s="1"/>
  <c r="G33" i="8"/>
  <c r="L352" i="13" s="1"/>
  <c r="G32" i="8"/>
  <c r="L351" i="13" s="1"/>
  <c r="G31" i="8"/>
  <c r="L350" i="13" s="1"/>
  <c r="G30" i="8"/>
  <c r="L349" i="13" s="1"/>
  <c r="G29" i="8"/>
  <c r="L348" i="13" s="1"/>
  <c r="G28" i="8"/>
  <c r="L347" i="13" s="1"/>
  <c r="G27" i="8"/>
  <c r="L346" i="13" s="1"/>
  <c r="G26" i="8"/>
  <c r="L345" i="13" s="1"/>
  <c r="G25" i="8"/>
  <c r="L344" i="13" s="1"/>
  <c r="G24" i="8"/>
  <c r="L343" i="13" s="1"/>
  <c r="G23" i="8"/>
  <c r="L342" i="13" s="1"/>
  <c r="G22" i="8"/>
  <c r="L341" i="13" s="1"/>
  <c r="G21" i="8"/>
  <c r="L340" i="13" s="1"/>
  <c r="G20" i="8"/>
  <c r="L339" i="13" s="1"/>
  <c r="G19" i="8"/>
  <c r="L338" i="13" s="1"/>
  <c r="G18" i="8"/>
  <c r="L337" i="13" s="1"/>
  <c r="G17" i="8"/>
  <c r="L336" i="13" s="1"/>
  <c r="G16" i="8"/>
  <c r="L335" i="13" s="1"/>
  <c r="G15" i="8"/>
  <c r="L334" i="13" s="1"/>
  <c r="G14" i="8"/>
  <c r="L333" i="13" s="1"/>
  <c r="G13" i="8"/>
  <c r="L332" i="13" s="1"/>
  <c r="G12" i="8"/>
  <c r="L331" i="13" s="1"/>
  <c r="G11" i="8"/>
  <c r="L330" i="13" s="1"/>
  <c r="G10" i="8"/>
  <c r="L329" i="13" s="1"/>
  <c r="G9" i="8"/>
  <c r="L328" i="13" s="1"/>
  <c r="G8" i="8"/>
  <c r="L327" i="13" s="1"/>
  <c r="G7" i="8"/>
  <c r="L326" i="13" s="1"/>
  <c r="G6" i="8"/>
  <c r="L325" i="13" s="1"/>
  <c r="G5" i="8"/>
  <c r="L324" i="13" s="1"/>
  <c r="G4" i="8"/>
  <c r="L323" i="13" s="1"/>
  <c r="E6" i="7"/>
  <c r="J277" i="13" s="1"/>
  <c r="E7" i="7"/>
  <c r="J278" i="13" s="1"/>
  <c r="E8" i="7"/>
  <c r="J279" i="13" s="1"/>
  <c r="E9" i="7"/>
  <c r="J280" i="13" s="1"/>
  <c r="E10" i="7"/>
  <c r="J281" i="13" s="1"/>
  <c r="E11" i="7"/>
  <c r="J282" i="13" s="1"/>
  <c r="E12" i="7"/>
  <c r="J283" i="13" s="1"/>
  <c r="E13" i="7"/>
  <c r="J284" i="13" s="1"/>
  <c r="E14" i="7"/>
  <c r="J285" i="13" s="1"/>
  <c r="E15" i="7"/>
  <c r="J286" i="13" s="1"/>
  <c r="E16" i="7"/>
  <c r="J287" i="13" s="1"/>
  <c r="E17" i="7"/>
  <c r="J288" i="13" s="1"/>
  <c r="D32" i="7"/>
  <c r="E6" i="12"/>
  <c r="F396" i="13" s="1"/>
  <c r="M10" i="13" s="1"/>
  <c r="E31" i="7"/>
  <c r="J302" i="13" s="1"/>
  <c r="E30" i="7"/>
  <c r="J301" i="13" s="1"/>
  <c r="E29" i="7"/>
  <c r="J300" i="13" s="1"/>
  <c r="E28" i="7"/>
  <c r="J299" i="13" s="1"/>
  <c r="E27" i="7"/>
  <c r="J298" i="13" s="1"/>
  <c r="E26" i="7"/>
  <c r="J297" i="13" s="1"/>
  <c r="E25" i="7"/>
  <c r="J296" i="13" s="1"/>
  <c r="E24" i="7"/>
  <c r="J295" i="13" s="1"/>
  <c r="E23" i="7"/>
  <c r="J294" i="13" s="1"/>
  <c r="E22" i="7"/>
  <c r="J293" i="13" s="1"/>
  <c r="E21" i="7"/>
  <c r="J292" i="13" s="1"/>
  <c r="E20" i="7"/>
  <c r="J291" i="13" s="1"/>
  <c r="E19" i="7"/>
  <c r="J290" i="13" s="1"/>
  <c r="E18" i="7"/>
  <c r="J289" i="13" s="1"/>
  <c r="N16" i="6"/>
  <c r="N165" i="13" s="1"/>
  <c r="N17" i="6"/>
  <c r="N166" i="13"/>
  <c r="N18" i="6"/>
  <c r="N167" i="13" s="1"/>
  <c r="N19" i="6"/>
  <c r="N168" i="13" s="1"/>
  <c r="N20" i="6"/>
  <c r="N169" i="13" s="1"/>
  <c r="N21" i="6"/>
  <c r="N170" i="13" s="1"/>
  <c r="N22" i="6"/>
  <c r="N171" i="13" s="1"/>
  <c r="N23" i="6"/>
  <c r="N172" i="13" s="1"/>
  <c r="N24" i="6"/>
  <c r="N173" i="13" s="1"/>
  <c r="N25" i="6"/>
  <c r="N174" i="13" s="1"/>
  <c r="N26" i="6"/>
  <c r="N175" i="13" s="1"/>
  <c r="N27" i="6"/>
  <c r="N176" i="13" s="1"/>
  <c r="N28" i="6"/>
  <c r="N177" i="13" s="1"/>
  <c r="N29" i="6"/>
  <c r="N178" i="13" s="1"/>
  <c r="N30" i="6"/>
  <c r="N179" i="13" s="1"/>
  <c r="N31" i="6"/>
  <c r="N180" i="13" s="1"/>
  <c r="N32" i="6"/>
  <c r="N181" i="13" s="1"/>
  <c r="N33" i="6"/>
  <c r="N182" i="13" s="1"/>
  <c r="N34" i="6"/>
  <c r="N183" i="13" s="1"/>
  <c r="N35" i="6"/>
  <c r="N184" i="13" s="1"/>
  <c r="N36" i="6"/>
  <c r="N185" i="13" s="1"/>
  <c r="N37" i="6"/>
  <c r="N186" i="13" s="1"/>
  <c r="N38" i="6"/>
  <c r="N187" i="13" s="1"/>
  <c r="N39" i="6"/>
  <c r="N188" i="13" s="1"/>
  <c r="N40" i="6"/>
  <c r="N189" i="13" s="1"/>
  <c r="N41" i="6"/>
  <c r="N190" i="13" s="1"/>
  <c r="N42" i="6"/>
  <c r="N191" i="13" s="1"/>
  <c r="N43" i="6"/>
  <c r="N192" i="13" s="1"/>
  <c r="N44" i="6"/>
  <c r="N193" i="13" s="1"/>
  <c r="N45" i="6"/>
  <c r="N194" i="13" s="1"/>
  <c r="N46" i="6"/>
  <c r="N195" i="13" s="1"/>
  <c r="N47" i="6"/>
  <c r="N196" i="13" s="1"/>
  <c r="N48" i="6"/>
  <c r="N197" i="13" s="1"/>
  <c r="N49" i="6"/>
  <c r="N198" i="13" s="1"/>
  <c r="N50" i="6"/>
  <c r="N199" i="13" s="1"/>
  <c r="N51" i="6"/>
  <c r="N200" i="13" s="1"/>
  <c r="N52" i="6"/>
  <c r="N201" i="13" s="1"/>
  <c r="N53" i="6"/>
  <c r="N202" i="13" s="1"/>
  <c r="N54" i="6"/>
  <c r="N203" i="13" s="1"/>
  <c r="N87" i="6"/>
  <c r="N236" i="13" s="1"/>
  <c r="N88" i="6"/>
  <c r="N237" i="13" s="1"/>
  <c r="N89" i="6"/>
  <c r="N238" i="13" s="1"/>
  <c r="N90" i="6"/>
  <c r="N239" i="13" s="1"/>
  <c r="N91" i="6"/>
  <c r="N240" i="13" s="1"/>
  <c r="N92" i="6"/>
  <c r="N241" i="13" s="1"/>
  <c r="N93" i="6"/>
  <c r="N242" i="13" s="1"/>
  <c r="N94" i="6"/>
  <c r="N243" i="13" s="1"/>
  <c r="N95" i="6"/>
  <c r="N244" i="13" s="1"/>
  <c r="N96" i="6"/>
  <c r="N245" i="13" s="1"/>
  <c r="N97" i="6"/>
  <c r="N246" i="13" s="1"/>
  <c r="N98" i="6"/>
  <c r="N247" i="13" s="1"/>
  <c r="N99" i="6"/>
  <c r="N248" i="13" s="1"/>
  <c r="N100" i="6"/>
  <c r="N249" i="13" s="1"/>
  <c r="N101" i="6"/>
  <c r="N250" i="13" s="1"/>
  <c r="N102" i="6"/>
  <c r="N251" i="13" s="1"/>
  <c r="N103" i="6"/>
  <c r="N252" i="13" s="1"/>
  <c r="AA10" i="6"/>
  <c r="I107" i="6"/>
  <c r="G107" i="6"/>
  <c r="Z89" i="13" s="1"/>
  <c r="T89" i="13" s="1"/>
  <c r="G69" i="13" s="1"/>
  <c r="G68" i="13" s="1"/>
  <c r="G106" i="6"/>
  <c r="E107" i="6"/>
  <c r="C106" i="6"/>
  <c r="C107" i="6"/>
  <c r="O16" i="6"/>
  <c r="O17" i="6"/>
  <c r="O18" i="6"/>
  <c r="Q18" i="6"/>
  <c r="R167" i="13" s="1"/>
  <c r="O19" i="6"/>
  <c r="O20" i="6"/>
  <c r="O21" i="6"/>
  <c r="Q21" i="6" s="1"/>
  <c r="R170" i="13" s="1"/>
  <c r="O22" i="6"/>
  <c r="O23" i="6"/>
  <c r="O24" i="6"/>
  <c r="Q24" i="6" s="1"/>
  <c r="R173" i="13" s="1"/>
  <c r="O25" i="6"/>
  <c r="Q25" i="6" s="1"/>
  <c r="R174" i="13" s="1"/>
  <c r="O26" i="6"/>
  <c r="Q26" i="6" s="1"/>
  <c r="R175" i="13" s="1"/>
  <c r="O27" i="6"/>
  <c r="O28" i="6"/>
  <c r="O29" i="6"/>
  <c r="Q29" i="6" s="1"/>
  <c r="R178" i="13" s="1"/>
  <c r="O30" i="6"/>
  <c r="O31" i="6"/>
  <c r="Q31" i="6" s="1"/>
  <c r="R180" i="13" s="1"/>
  <c r="O32" i="6"/>
  <c r="O33" i="6"/>
  <c r="Q33" i="6" s="1"/>
  <c r="R182" i="13" s="1"/>
  <c r="O34" i="6"/>
  <c r="O35" i="6"/>
  <c r="Q35" i="6" s="1"/>
  <c r="R184" i="13" s="1"/>
  <c r="O36" i="6"/>
  <c r="O37" i="6"/>
  <c r="Q37" i="6"/>
  <c r="R186" i="13" s="1"/>
  <c r="O38" i="6"/>
  <c r="O39" i="6"/>
  <c r="O40" i="6"/>
  <c r="O41" i="6"/>
  <c r="O42" i="6"/>
  <c r="O43" i="6"/>
  <c r="Q43" i="6" s="1"/>
  <c r="R192" i="13" s="1"/>
  <c r="O44" i="6"/>
  <c r="Q44" i="6" s="1"/>
  <c r="R193" i="13" s="1"/>
  <c r="O45" i="6"/>
  <c r="O46" i="6"/>
  <c r="O47" i="6"/>
  <c r="Q47" i="6" s="1"/>
  <c r="R196" i="13" s="1"/>
  <c r="O48" i="6"/>
  <c r="O49" i="6"/>
  <c r="O50" i="6"/>
  <c r="O51" i="6"/>
  <c r="Q51" i="6" s="1"/>
  <c r="R200" i="13" s="1"/>
  <c r="O52" i="6"/>
  <c r="Q52" i="6"/>
  <c r="R201" i="13" s="1"/>
  <c r="O53" i="6"/>
  <c r="O54" i="6"/>
  <c r="O87" i="6"/>
  <c r="Q87" i="6" s="1"/>
  <c r="R236" i="13" s="1"/>
  <c r="O88" i="6"/>
  <c r="Q88" i="6"/>
  <c r="R237" i="13" s="1"/>
  <c r="O89" i="6"/>
  <c r="O90" i="6"/>
  <c r="O91" i="6"/>
  <c r="O92" i="6"/>
  <c r="Q92" i="6" s="1"/>
  <c r="R241" i="13" s="1"/>
  <c r="O93" i="6"/>
  <c r="O94" i="6"/>
  <c r="O95" i="6"/>
  <c r="O96" i="6"/>
  <c r="O97" i="6"/>
  <c r="O98" i="6"/>
  <c r="O99" i="6"/>
  <c r="Q99" i="6" s="1"/>
  <c r="R248" i="13" s="1"/>
  <c r="O100" i="6"/>
  <c r="Q100" i="6" s="1"/>
  <c r="R249" i="13" s="1"/>
  <c r="O101" i="6"/>
  <c r="Q101" i="6" s="1"/>
  <c r="R250" i="13" s="1"/>
  <c r="O102" i="6"/>
  <c r="O103" i="6"/>
  <c r="Q103" i="6" s="1"/>
  <c r="R252" i="13" s="1"/>
  <c r="P16" i="6"/>
  <c r="P17" i="6"/>
  <c r="P18" i="6"/>
  <c r="P19" i="6"/>
  <c r="Q19" i="6" s="1"/>
  <c r="R168" i="13" s="1"/>
  <c r="P20" i="6"/>
  <c r="P21" i="6"/>
  <c r="P22" i="6"/>
  <c r="Q22" i="6" s="1"/>
  <c r="R171" i="13" s="1"/>
  <c r="P23" i="6"/>
  <c r="P24" i="6"/>
  <c r="P25" i="6"/>
  <c r="P26" i="6"/>
  <c r="P27" i="6"/>
  <c r="Q27" i="6" s="1"/>
  <c r="R176" i="13" s="1"/>
  <c r="P28" i="6"/>
  <c r="Q28" i="6" s="1"/>
  <c r="R177" i="13" s="1"/>
  <c r="P29" i="6"/>
  <c r="P30" i="6"/>
  <c r="Q30" i="6" s="1"/>
  <c r="R179" i="13" s="1"/>
  <c r="P31" i="6"/>
  <c r="P32" i="6"/>
  <c r="Q32" i="6" s="1"/>
  <c r="R181" i="13" s="1"/>
  <c r="P33" i="6"/>
  <c r="P34" i="6"/>
  <c r="Q34" i="6" s="1"/>
  <c r="R183" i="13" s="1"/>
  <c r="P35" i="6"/>
  <c r="P36" i="6"/>
  <c r="Q36" i="6" s="1"/>
  <c r="R185" i="13" s="1"/>
  <c r="P37" i="6"/>
  <c r="P38" i="6"/>
  <c r="Q38" i="6" s="1"/>
  <c r="R187" i="13" s="1"/>
  <c r="P39" i="6"/>
  <c r="P40" i="6"/>
  <c r="P41" i="6"/>
  <c r="P42" i="6"/>
  <c r="Q42" i="6"/>
  <c r="R191" i="13" s="1"/>
  <c r="P43" i="6"/>
  <c r="P44" i="6"/>
  <c r="P45" i="6"/>
  <c r="Q45" i="6" s="1"/>
  <c r="R194" i="13" s="1"/>
  <c r="P46" i="6"/>
  <c r="Q46" i="6"/>
  <c r="R195" i="13" s="1"/>
  <c r="P47" i="6"/>
  <c r="P48" i="6"/>
  <c r="P49" i="6"/>
  <c r="P50" i="6"/>
  <c r="Q50" i="6"/>
  <c r="R199" i="13" s="1"/>
  <c r="P51" i="6"/>
  <c r="P52" i="6"/>
  <c r="P53" i="6"/>
  <c r="P54" i="6"/>
  <c r="Q54" i="6"/>
  <c r="R203" i="13" s="1"/>
  <c r="P87" i="6"/>
  <c r="P88" i="6"/>
  <c r="P89" i="6"/>
  <c r="Q89" i="6"/>
  <c r="R238" i="13" s="1"/>
  <c r="P90" i="6"/>
  <c r="Q90" i="6"/>
  <c r="R239" i="13" s="1"/>
  <c r="P91" i="6"/>
  <c r="P92" i="6"/>
  <c r="P93" i="6"/>
  <c r="Q93" i="6"/>
  <c r="R242" i="13" s="1"/>
  <c r="P94" i="6"/>
  <c r="Q94" i="6"/>
  <c r="R243" i="13" s="1"/>
  <c r="P95" i="6"/>
  <c r="P96" i="6"/>
  <c r="Q96" i="6" s="1"/>
  <c r="R245" i="13" s="1"/>
  <c r="P97" i="6"/>
  <c r="Q97" i="6"/>
  <c r="R246" i="13" s="1"/>
  <c r="P98" i="6"/>
  <c r="Q98" i="6"/>
  <c r="R247" i="13" s="1"/>
  <c r="P99" i="6"/>
  <c r="P100" i="6"/>
  <c r="P101" i="6"/>
  <c r="P102" i="6"/>
  <c r="Q102" i="6" s="1"/>
  <c r="R251" i="13" s="1"/>
  <c r="P103" i="6"/>
  <c r="M104" i="6"/>
  <c r="P256" i="13" s="1"/>
  <c r="L104" i="6"/>
  <c r="O256" i="13" s="1"/>
  <c r="Q95" i="6"/>
  <c r="R244" i="13" s="1"/>
  <c r="Q91" i="6"/>
  <c r="R240" i="13" s="1"/>
  <c r="Q48" i="6"/>
  <c r="R197" i="13" s="1"/>
  <c r="Q40" i="6"/>
  <c r="R189" i="13" s="1"/>
  <c r="Q39" i="6"/>
  <c r="R188" i="13" s="1"/>
  <c r="Q23" i="6"/>
  <c r="R172" i="13" s="1"/>
  <c r="V5" i="6"/>
  <c r="W4" i="6" s="1"/>
  <c r="V4" i="6"/>
  <c r="J14" i="2"/>
  <c r="N120" i="13" s="1"/>
  <c r="J15" i="2"/>
  <c r="N121" i="13" s="1"/>
  <c r="J16" i="2"/>
  <c r="N122" i="13" s="1"/>
  <c r="G14" i="2"/>
  <c r="J120" i="13" s="1"/>
  <c r="G15" i="2"/>
  <c r="J121" i="13" s="1"/>
  <c r="G16" i="2"/>
  <c r="J122" i="13" s="1"/>
  <c r="G19" i="2"/>
  <c r="J125" i="13" s="1"/>
  <c r="G13" i="2"/>
  <c r="J119" i="13" s="1"/>
  <c r="J37" i="2"/>
  <c r="N143" i="13" s="1"/>
  <c r="J36" i="2"/>
  <c r="N142" i="13" s="1"/>
  <c r="J35" i="2"/>
  <c r="N141" i="13" s="1"/>
  <c r="J34" i="2"/>
  <c r="N140" i="13" s="1"/>
  <c r="J33" i="2"/>
  <c r="N139" i="13" s="1"/>
  <c r="J32" i="2"/>
  <c r="N138" i="13" s="1"/>
  <c r="J31" i="2"/>
  <c r="N137" i="13" s="1"/>
  <c r="J30" i="2"/>
  <c r="N136" i="13" s="1"/>
  <c r="J29" i="2"/>
  <c r="N135" i="13" s="1"/>
  <c r="J28" i="2"/>
  <c r="N134" i="13" s="1"/>
  <c r="J27" i="2"/>
  <c r="N133" i="13" s="1"/>
  <c r="J26" i="2"/>
  <c r="N132" i="13" s="1"/>
  <c r="J25" i="2"/>
  <c r="N131" i="13" s="1"/>
  <c r="J24" i="2"/>
  <c r="N130" i="13" s="1"/>
  <c r="J23" i="2"/>
  <c r="N129" i="13" s="1"/>
  <c r="J22" i="2"/>
  <c r="N128" i="13" s="1"/>
  <c r="J21" i="2"/>
  <c r="N127" i="13" s="1"/>
  <c r="J20" i="2"/>
  <c r="N126" i="13" s="1"/>
  <c r="J19" i="2"/>
  <c r="N125" i="13" s="1"/>
  <c r="J18" i="2"/>
  <c r="N124" i="13" s="1"/>
  <c r="J17" i="2"/>
  <c r="N123" i="13" s="1"/>
  <c r="J13" i="2"/>
  <c r="G37" i="2"/>
  <c r="J143" i="13" s="1"/>
  <c r="G36" i="2"/>
  <c r="J142" i="13" s="1"/>
  <c r="G35" i="2"/>
  <c r="J141" i="13" s="1"/>
  <c r="G34" i="2"/>
  <c r="J140" i="13" s="1"/>
  <c r="G33" i="2"/>
  <c r="J139" i="13" s="1"/>
  <c r="G32" i="2"/>
  <c r="J138" i="13" s="1"/>
  <c r="G31" i="2"/>
  <c r="J137" i="13" s="1"/>
  <c r="G30" i="2"/>
  <c r="J136" i="13" s="1"/>
  <c r="G29" i="2"/>
  <c r="J135" i="13" s="1"/>
  <c r="G28" i="2"/>
  <c r="J134" i="13" s="1"/>
  <c r="G27" i="2"/>
  <c r="J133" i="13" s="1"/>
  <c r="G26" i="2"/>
  <c r="J132" i="13" s="1"/>
  <c r="G25" i="2"/>
  <c r="J131" i="13" s="1"/>
  <c r="G24" i="2"/>
  <c r="J130" i="13" s="1"/>
  <c r="G23" i="2"/>
  <c r="J129" i="13" s="1"/>
  <c r="G22" i="2"/>
  <c r="J128" i="13" s="1"/>
  <c r="G21" i="2"/>
  <c r="J127" i="13" s="1"/>
  <c r="G20" i="2"/>
  <c r="J126" i="13" s="1"/>
  <c r="G18" i="2"/>
  <c r="J124" i="13" s="1"/>
  <c r="G17" i="2"/>
  <c r="J123" i="13" s="1"/>
  <c r="J18" i="4"/>
  <c r="P13" i="4"/>
  <c r="P14" i="4" s="1"/>
  <c r="I106" i="6"/>
  <c r="E106" i="6"/>
  <c r="G34" i="8"/>
  <c r="L353" i="13" s="1"/>
  <c r="D10" i="12"/>
  <c r="D400" i="13" s="1"/>
  <c r="K14" i="13" s="1"/>
  <c r="F43" i="8"/>
  <c r="E9" i="12"/>
  <c r="F399" i="13" s="1"/>
  <c r="M13" i="13" s="1"/>
  <c r="G39" i="8"/>
  <c r="L358" i="13" s="1"/>
  <c r="D7" i="12"/>
  <c r="G38" i="8"/>
  <c r="L357" i="13" s="1"/>
  <c r="G41" i="8"/>
  <c r="L360" i="13" s="1"/>
  <c r="G40" i="8"/>
  <c r="L359" i="13" s="1"/>
  <c r="Q17" i="6"/>
  <c r="R166" i="13" s="1"/>
  <c r="Q20" i="6"/>
  <c r="R169" i="13" s="1"/>
  <c r="Q16" i="6"/>
  <c r="R165" i="13" s="1"/>
  <c r="Q15" i="6"/>
  <c r="R164" i="13" s="1"/>
  <c r="L3" i="6"/>
  <c r="M106" i="6"/>
  <c r="G72" i="13"/>
  <c r="M233" i="13"/>
  <c r="P217" i="13"/>
  <c r="P209" i="13"/>
  <c r="Q209" i="13"/>
  <c r="P197" i="13"/>
  <c r="P193" i="13"/>
  <c r="M167" i="13"/>
  <c r="I281" i="13"/>
  <c r="I297" i="13"/>
  <c r="K324" i="13"/>
  <c r="M217" i="13"/>
  <c r="P229" i="13"/>
  <c r="P221" i="13"/>
  <c r="P219" i="13"/>
  <c r="P211" i="13"/>
  <c r="P205" i="13"/>
  <c r="P203" i="13"/>
  <c r="P201" i="13"/>
  <c r="M164" i="13"/>
  <c r="M221" i="13"/>
  <c r="I278" i="13"/>
  <c r="P223" i="13"/>
  <c r="P195" i="13"/>
  <c r="P191" i="13"/>
  <c r="P189" i="13"/>
  <c r="Q189" i="13" s="1"/>
  <c r="P171" i="13"/>
  <c r="O164" i="13"/>
  <c r="M224" i="13"/>
  <c r="O212" i="13"/>
  <c r="M178" i="13"/>
  <c r="I289" i="13"/>
  <c r="K328" i="13"/>
  <c r="K337" i="13"/>
  <c r="E13" i="9"/>
  <c r="K388" i="13" s="1"/>
  <c r="M249" i="13"/>
  <c r="O230" i="13"/>
  <c r="Q230" i="13" s="1"/>
  <c r="I285" i="13"/>
  <c r="I293" i="13"/>
  <c r="I301" i="13"/>
  <c r="H75" i="13"/>
  <c r="H74" i="13"/>
  <c r="I74" i="13" s="1"/>
  <c r="Z74" i="13" s="1"/>
  <c r="T74" i="13" s="1"/>
  <c r="BF2" i="14" s="1"/>
  <c r="G74" i="13"/>
  <c r="T93" i="13"/>
  <c r="O242" i="13"/>
  <c r="O226" i="13"/>
  <c r="D6" i="12"/>
  <c r="D396" i="13" s="1"/>
  <c r="K10" i="13" s="1"/>
  <c r="F6" i="12"/>
  <c r="H396" i="13" s="1"/>
  <c r="O10" i="13" s="1"/>
  <c r="M142" i="13"/>
  <c r="I140" i="13"/>
  <c r="M138" i="13"/>
  <c r="M123" i="13"/>
  <c r="M122" i="13"/>
  <c r="I360" i="13"/>
  <c r="M232" i="13"/>
  <c r="M202" i="13"/>
  <c r="M192" i="13"/>
  <c r="M182" i="13"/>
  <c r="M174" i="13"/>
  <c r="I288" i="13"/>
  <c r="K350" i="13"/>
  <c r="J384" i="13"/>
  <c r="J385" i="13"/>
  <c r="J383" i="13"/>
  <c r="M247" i="13"/>
  <c r="M243" i="13"/>
  <c r="M241" i="13"/>
  <c r="M235" i="13"/>
  <c r="M225" i="13"/>
  <c r="M219" i="13"/>
  <c r="M140" i="13"/>
  <c r="P192" i="13"/>
  <c r="P252" i="13"/>
  <c r="P250" i="13"/>
  <c r="P248" i="13"/>
  <c r="P246" i="13"/>
  <c r="P244" i="13"/>
  <c r="Q244" i="13" s="1"/>
  <c r="P242" i="13"/>
  <c r="P240" i="13"/>
  <c r="P236" i="13"/>
  <c r="P196" i="13"/>
  <c r="Q196" i="13"/>
  <c r="P194" i="13"/>
  <c r="P190" i="13"/>
  <c r="Q190" i="13" s="1"/>
  <c r="P188" i="13"/>
  <c r="P186" i="13"/>
  <c r="P184" i="13"/>
  <c r="P182" i="13"/>
  <c r="Q182" i="13"/>
  <c r="P180" i="13"/>
  <c r="P178" i="13"/>
  <c r="P176" i="13"/>
  <c r="P174" i="13"/>
  <c r="G358" i="13"/>
  <c r="L253" i="13"/>
  <c r="P257" i="13" s="1"/>
  <c r="O251" i="13"/>
  <c r="Q251" i="13" s="1"/>
  <c r="O249" i="13"/>
  <c r="Q249" i="13" s="1"/>
  <c r="O233" i="13"/>
  <c r="Q233" i="13" s="1"/>
  <c r="O221" i="13"/>
  <c r="Q221" i="13" s="1"/>
  <c r="M215" i="13"/>
  <c r="M213" i="13"/>
  <c r="M209" i="13"/>
  <c r="M205" i="13"/>
  <c r="M201" i="13"/>
  <c r="M197" i="13"/>
  <c r="M195" i="13"/>
  <c r="M193" i="13"/>
  <c r="M191" i="13"/>
  <c r="M189" i="13"/>
  <c r="M187" i="13"/>
  <c r="M185" i="13"/>
  <c r="M183" i="13"/>
  <c r="M181" i="13"/>
  <c r="M179" i="13"/>
  <c r="M171" i="13"/>
  <c r="M169" i="13"/>
  <c r="I282" i="13"/>
  <c r="I286" i="13"/>
  <c r="I290" i="13"/>
  <c r="K349" i="13"/>
  <c r="K348" i="13"/>
  <c r="K347" i="13"/>
  <c r="K343" i="13"/>
  <c r="K341" i="13"/>
  <c r="K339" i="13"/>
  <c r="K335" i="13"/>
  <c r="T94" i="13"/>
  <c r="V85" i="13"/>
  <c r="X85" i="13"/>
  <c r="P220" i="13"/>
  <c r="P218" i="13"/>
  <c r="P216" i="13"/>
  <c r="P214" i="13"/>
  <c r="P212" i="13"/>
  <c r="J386" i="13"/>
  <c r="J382" i="13"/>
  <c r="M252" i="13"/>
  <c r="M250" i="13"/>
  <c r="M244" i="13"/>
  <c r="M242" i="13"/>
  <c r="M238" i="13"/>
  <c r="M230" i="13"/>
  <c r="M226" i="13"/>
  <c r="M218" i="13"/>
  <c r="M212" i="13"/>
  <c r="M200" i="13"/>
  <c r="M198" i="13"/>
  <c r="M196" i="13"/>
  <c r="M194" i="13"/>
  <c r="M190" i="13"/>
  <c r="M180" i="13"/>
  <c r="M172" i="13"/>
  <c r="M170" i="13"/>
  <c r="M168" i="13"/>
  <c r="I359" i="13"/>
  <c r="P208" i="13"/>
  <c r="P206" i="13"/>
  <c r="P204" i="13"/>
  <c r="P202" i="13"/>
  <c r="Q202" i="13" s="1"/>
  <c r="P200" i="13"/>
  <c r="K346" i="13"/>
  <c r="K342" i="13"/>
  <c r="K338" i="13"/>
  <c r="K334" i="13"/>
  <c r="I357" i="13"/>
  <c r="G399" i="13" s="1"/>
  <c r="I358" i="13"/>
  <c r="J388" i="13"/>
  <c r="AS2" i="14" s="1"/>
  <c r="M251" i="13"/>
  <c r="O215" i="13"/>
  <c r="Q215" i="13" s="1"/>
  <c r="O219" i="13"/>
  <c r="O217" i="13"/>
  <c r="Q217" i="13" s="1"/>
  <c r="O245" i="13"/>
  <c r="Q245" i="13" s="1"/>
  <c r="M245" i="13"/>
  <c r="M239" i="13"/>
  <c r="O239" i="13"/>
  <c r="Q239" i="13" s="1"/>
  <c r="O237" i="13"/>
  <c r="Q237" i="13" s="1"/>
  <c r="M237" i="13"/>
  <c r="M231" i="13"/>
  <c r="O231" i="13"/>
  <c r="M229" i="13"/>
  <c r="O229" i="13"/>
  <c r="Q229" i="13" s="1"/>
  <c r="M227" i="13"/>
  <c r="O227" i="13"/>
  <c r="Q227" i="13" s="1"/>
  <c r="M223" i="13"/>
  <c r="O223" i="13"/>
  <c r="Q223" i="13"/>
  <c r="O207" i="13"/>
  <c r="M207" i="13"/>
  <c r="O203" i="13"/>
  <c r="M203" i="13"/>
  <c r="O199" i="13"/>
  <c r="Q199" i="13" s="1"/>
  <c r="M199" i="13"/>
  <c r="O177" i="13"/>
  <c r="Q177" i="13" s="1"/>
  <c r="M177" i="13"/>
  <c r="M175" i="13"/>
  <c r="O175" i="13"/>
  <c r="Q175" i="13"/>
  <c r="M173" i="13"/>
  <c r="O173" i="13"/>
  <c r="Q173" i="13" s="1"/>
  <c r="M165" i="13"/>
  <c r="O165" i="13"/>
  <c r="B2" i="14"/>
  <c r="F79" i="13"/>
  <c r="G41" i="13"/>
  <c r="G77" i="13"/>
  <c r="H77" i="13" s="1"/>
  <c r="M211" i="13"/>
  <c r="O211" i="13"/>
  <c r="Q211" i="13" s="1"/>
  <c r="O205" i="13"/>
  <c r="Q205" i="13" s="1"/>
  <c r="O247" i="13"/>
  <c r="O213" i="13"/>
  <c r="Q213" i="13"/>
  <c r="M141" i="13"/>
  <c r="M139" i="13"/>
  <c r="M136" i="13"/>
  <c r="M135" i="13"/>
  <c r="M133" i="13"/>
  <c r="M132" i="13"/>
  <c r="M131" i="13"/>
  <c r="M130" i="13"/>
  <c r="M129" i="13"/>
  <c r="M128" i="13"/>
  <c r="M127" i="13"/>
  <c r="I126" i="13"/>
  <c r="M126" i="13"/>
  <c r="M124" i="13"/>
  <c r="M121" i="13"/>
  <c r="M120" i="13"/>
  <c r="M119" i="13"/>
  <c r="O197" i="13"/>
  <c r="O195" i="13"/>
  <c r="Q195" i="13" s="1"/>
  <c r="O193" i="13"/>
  <c r="Q193" i="13" s="1"/>
  <c r="O191" i="13"/>
  <c r="Q191" i="13" s="1"/>
  <c r="O189" i="13"/>
  <c r="O187" i="13"/>
  <c r="Q187" i="13"/>
  <c r="O185" i="13"/>
  <c r="Q185" i="13" s="1"/>
  <c r="I142" i="13"/>
  <c r="I139" i="13"/>
  <c r="I138" i="13"/>
  <c r="I137" i="13"/>
  <c r="I136" i="13"/>
  <c r="I134" i="13"/>
  <c r="I133" i="13"/>
  <c r="I130" i="13"/>
  <c r="I129" i="13"/>
  <c r="I128" i="13"/>
  <c r="I125" i="13"/>
  <c r="I124" i="13"/>
  <c r="I122" i="13"/>
  <c r="I121" i="13"/>
  <c r="I120" i="13"/>
  <c r="I119" i="13"/>
  <c r="O209" i="13"/>
  <c r="O171" i="13"/>
  <c r="Q171" i="13" s="1"/>
  <c r="O169" i="13"/>
  <c r="Q169" i="13" s="1"/>
  <c r="O167" i="13"/>
  <c r="Q167" i="13" s="1"/>
  <c r="O246" i="13"/>
  <c r="Q246" i="13"/>
  <c r="O232" i="13"/>
  <c r="Q232" i="13"/>
  <c r="O224" i="13"/>
  <c r="Q224" i="13" s="1"/>
  <c r="O174" i="13"/>
  <c r="I302" i="13"/>
  <c r="I298" i="13"/>
  <c r="I294" i="13"/>
  <c r="G357" i="13"/>
  <c r="K357" i="13" s="1"/>
  <c r="G360" i="13"/>
  <c r="K360" i="13"/>
  <c r="I361" i="13"/>
  <c r="O225" i="13"/>
  <c r="Q225" i="13" s="1"/>
  <c r="O201" i="13"/>
  <c r="Q201" i="13" s="1"/>
  <c r="F387" i="13"/>
  <c r="E400" i="13" s="1"/>
  <c r="K345" i="13"/>
  <c r="K344" i="13"/>
  <c r="K340" i="13"/>
  <c r="K336" i="13"/>
  <c r="K333" i="13"/>
  <c r="K332" i="13"/>
  <c r="G361" i="13"/>
  <c r="O243" i="13"/>
  <c r="Q243" i="13"/>
  <c r="O183" i="13"/>
  <c r="Q183" i="13"/>
  <c r="O181" i="13"/>
  <c r="Q181" i="13" s="1"/>
  <c r="O179" i="13"/>
  <c r="Q179" i="13"/>
  <c r="P164" i="13"/>
  <c r="Q164" i="13"/>
  <c r="I291" i="13"/>
  <c r="I287" i="13"/>
  <c r="H303" i="13"/>
  <c r="I280" i="13"/>
  <c r="I284" i="13"/>
  <c r="I292" i="13"/>
  <c r="I296" i="13"/>
  <c r="I300" i="13"/>
  <c r="G303" i="13"/>
  <c r="G396" i="13"/>
  <c r="N10" i="13" s="1"/>
  <c r="Y2" i="14" s="1"/>
  <c r="I295" i="13"/>
  <c r="I299" i="13"/>
  <c r="K323" i="13"/>
  <c r="K330" i="13"/>
  <c r="K329" i="13"/>
  <c r="G353" i="13"/>
  <c r="E397" i="13" s="1"/>
  <c r="L11" i="13" s="1"/>
  <c r="AA2" i="14" s="1"/>
  <c r="K326" i="13"/>
  <c r="K352" i="13"/>
  <c r="K351" i="13"/>
  <c r="G359" i="13"/>
  <c r="B256" i="13"/>
  <c r="B255" i="13"/>
  <c r="Z83" i="13" s="1"/>
  <c r="T83" i="13" s="1"/>
  <c r="O248" i="13"/>
  <c r="Q248" i="13" s="1"/>
  <c r="M248" i="13"/>
  <c r="M240" i="13"/>
  <c r="O240" i="13"/>
  <c r="Q240" i="13"/>
  <c r="M236" i="13"/>
  <c r="O236" i="13"/>
  <c r="Q236" i="13" s="1"/>
  <c r="M234" i="13"/>
  <c r="O234" i="13"/>
  <c r="Q234" i="13" s="1"/>
  <c r="M228" i="13"/>
  <c r="O228" i="13"/>
  <c r="Q228" i="13" s="1"/>
  <c r="O222" i="13"/>
  <c r="Q222" i="13" s="1"/>
  <c r="M222" i="13"/>
  <c r="M220" i="13"/>
  <c r="O220" i="13"/>
  <c r="Q220" i="13" s="1"/>
  <c r="O216" i="13"/>
  <c r="Q216" i="13" s="1"/>
  <c r="M216" i="13"/>
  <c r="O214" i="13"/>
  <c r="Q214" i="13"/>
  <c r="M214" i="13"/>
  <c r="O210" i="13"/>
  <c r="Q210" i="13" s="1"/>
  <c r="M210" i="13"/>
  <c r="O208" i="13"/>
  <c r="Q208" i="13"/>
  <c r="M208" i="13"/>
  <c r="O206" i="13"/>
  <c r="Q206" i="13" s="1"/>
  <c r="M206" i="13"/>
  <c r="M204" i="13"/>
  <c r="O204" i="13"/>
  <c r="Q204" i="13" s="1"/>
  <c r="M188" i="13"/>
  <c r="O188" i="13"/>
  <c r="Q188" i="13" s="1"/>
  <c r="M186" i="13"/>
  <c r="Q186" i="13"/>
  <c r="M184" i="13"/>
  <c r="O184" i="13"/>
  <c r="Q184" i="13" s="1"/>
  <c r="O176" i="13"/>
  <c r="Q176" i="13" s="1"/>
  <c r="M176" i="13"/>
  <c r="O166" i="13"/>
  <c r="Q166" i="13" s="1"/>
  <c r="M166" i="13"/>
  <c r="K253" i="13"/>
  <c r="O257" i="13" s="1"/>
  <c r="N253" i="13"/>
  <c r="K327" i="13"/>
  <c r="O202" i="13"/>
  <c r="O200" i="13"/>
  <c r="Q200" i="13"/>
  <c r="O170" i="13"/>
  <c r="Q170" i="13"/>
  <c r="O168" i="13"/>
  <c r="Q168" i="13" s="1"/>
  <c r="F255" i="13"/>
  <c r="F303" i="13"/>
  <c r="I279" i="13"/>
  <c r="E303" i="13"/>
  <c r="I303" i="13" s="1"/>
  <c r="I277" i="13"/>
  <c r="K325" i="13"/>
  <c r="K353" i="13" s="1"/>
  <c r="I353" i="13"/>
  <c r="G397" i="13"/>
  <c r="N11" i="13" s="1"/>
  <c r="AB2" i="14" s="1"/>
  <c r="O198" i="13"/>
  <c r="Q198" i="13"/>
  <c r="M246" i="13"/>
  <c r="O218" i="13"/>
  <c r="Q218" i="13" s="1"/>
  <c r="Q165" i="13"/>
  <c r="O252" i="13"/>
  <c r="Q252" i="13" s="1"/>
  <c r="O250" i="13"/>
  <c r="Q250" i="13" s="1"/>
  <c r="I283" i="13"/>
  <c r="I143" i="13"/>
  <c r="I141" i="13"/>
  <c r="I131" i="13"/>
  <c r="I127" i="13"/>
  <c r="I123" i="13"/>
  <c r="O238" i="13"/>
  <c r="Q238" i="13"/>
  <c r="O178" i="13"/>
  <c r="Q178" i="13"/>
  <c r="I75" i="13"/>
  <c r="O172" i="13"/>
  <c r="Q172" i="13"/>
  <c r="K331" i="13"/>
  <c r="Q194" i="13"/>
  <c r="I81" i="13"/>
  <c r="N13" i="13"/>
  <c r="K358" i="13"/>
  <c r="Q174" i="13"/>
  <c r="K361" i="13"/>
  <c r="E399" i="13"/>
  <c r="I399" i="13" s="1"/>
  <c r="P13" i="13" s="1"/>
  <c r="E396" i="13"/>
  <c r="L10" i="13" s="1"/>
  <c r="X2" i="14" s="1"/>
  <c r="L255" i="13"/>
  <c r="Z84" i="13" s="1"/>
  <c r="T84" i="13" s="1"/>
  <c r="H72" i="13"/>
  <c r="I72" i="13" s="1"/>
  <c r="Z72" i="13" s="1"/>
  <c r="T72" i="13"/>
  <c r="BE2" i="14" s="1"/>
  <c r="I73" i="13"/>
  <c r="I362" i="13"/>
  <c r="G398" i="13" s="1"/>
  <c r="N12" i="13" s="1"/>
  <c r="Q247" i="13"/>
  <c r="Q203" i="13"/>
  <c r="Q197" i="13"/>
  <c r="Q231" i="13"/>
  <c r="L13" i="13"/>
  <c r="Q212" i="13"/>
  <c r="Q242" i="13"/>
  <c r="I397" i="13"/>
  <c r="P11" i="13" s="1"/>
  <c r="AC2" i="14" s="1"/>
  <c r="L15" i="13"/>
  <c r="AG2" i="14" s="1"/>
  <c r="I401" i="13"/>
  <c r="P15" i="13" s="1"/>
  <c r="AI2" i="14" s="1"/>
  <c r="I68" i="13"/>
  <c r="Z68" i="13" s="1"/>
  <c r="T68" i="13" s="1"/>
  <c r="BC2" i="14" s="1"/>
  <c r="D123" i="5"/>
  <c r="D137" i="5"/>
  <c r="D165" i="5"/>
  <c r="D102" i="5"/>
  <c r="D151" i="5"/>
  <c r="D116" i="5"/>
  <c r="D144" i="5"/>
  <c r="H387" i="13" l="1"/>
  <c r="G400" i="13" s="1"/>
  <c r="N14" i="13" s="1"/>
  <c r="E12" i="9"/>
  <c r="K387" i="13" s="1"/>
  <c r="E10" i="12"/>
  <c r="F400" i="13" s="1"/>
  <c r="M14" i="13" s="1"/>
  <c r="G76" i="13"/>
  <c r="P15" i="4"/>
  <c r="P16" i="4" s="1"/>
  <c r="P17" i="4" s="1"/>
  <c r="E11" i="12"/>
  <c r="F401" i="13" s="1"/>
  <c r="M15" i="13" s="1"/>
  <c r="G388" i="13"/>
  <c r="L14" i="13"/>
  <c r="AD2" i="14" s="1"/>
  <c r="I400" i="13"/>
  <c r="P14" i="13" s="1"/>
  <c r="AF2" i="14" s="1"/>
  <c r="I77" i="13"/>
  <c r="H76" i="13"/>
  <c r="Q53" i="6"/>
  <c r="R202" i="13" s="1"/>
  <c r="H361" i="13"/>
  <c r="G42" i="8"/>
  <c r="L361" i="13" s="1"/>
  <c r="E43" i="8"/>
  <c r="Z85" i="13"/>
  <c r="I396" i="13"/>
  <c r="P10" i="13" s="1"/>
  <c r="Z2" i="14" s="1"/>
  <c r="M144" i="13"/>
  <c r="G394" i="13" s="1"/>
  <c r="N104" i="6"/>
  <c r="O104" i="6"/>
  <c r="F172" i="5"/>
  <c r="F158" i="5"/>
  <c r="F123" i="5"/>
  <c r="F186" i="5"/>
  <c r="F165" i="5"/>
  <c r="F144" i="5"/>
  <c r="F95" i="5"/>
  <c r="F116" i="5"/>
  <c r="F130" i="5"/>
  <c r="F102" i="5"/>
  <c r="F179" i="5"/>
  <c r="Q74" i="6"/>
  <c r="R223" i="13" s="1"/>
  <c r="I69" i="13"/>
  <c r="K359" i="13"/>
  <c r="G362" i="13"/>
  <c r="I144" i="13"/>
  <c r="E394" i="13" s="1"/>
  <c r="O253" i="13"/>
  <c r="E395" i="13" s="1"/>
  <c r="D397" i="13"/>
  <c r="K11" i="13" s="1"/>
  <c r="F7" i="12"/>
  <c r="H397" i="13" s="1"/>
  <c r="O11" i="13" s="1"/>
  <c r="Q41" i="6"/>
  <c r="R190" i="13" s="1"/>
  <c r="R253" i="13" s="1"/>
  <c r="M107" i="6"/>
  <c r="Q69" i="6"/>
  <c r="R218" i="13" s="1"/>
  <c r="H255" i="13"/>
  <c r="H256" i="13"/>
  <c r="AH2" i="14"/>
  <c r="AE2" i="14"/>
  <c r="E137" i="5"/>
  <c r="E116" i="5"/>
  <c r="E95" i="5"/>
  <c r="E172" i="5"/>
  <c r="E102" i="5"/>
  <c r="E123" i="5"/>
  <c r="E186" i="5"/>
  <c r="E165" i="5"/>
  <c r="E144" i="5"/>
  <c r="E179" i="5"/>
  <c r="E151" i="5"/>
  <c r="E109" i="5"/>
  <c r="E158" i="5"/>
  <c r="E130" i="5"/>
  <c r="Q56" i="6"/>
  <c r="R205" i="13" s="1"/>
  <c r="P253" i="13"/>
  <c r="G395" i="13" s="1"/>
  <c r="N9" i="13" s="1"/>
  <c r="V2" i="14" s="1"/>
  <c r="P104" i="6"/>
  <c r="E5" i="12" s="1"/>
  <c r="F395" i="13" s="1"/>
  <c r="M9" i="13" s="1"/>
  <c r="T85" i="13"/>
  <c r="G71" i="13" s="1"/>
  <c r="M253" i="13"/>
  <c r="Q219" i="13"/>
  <c r="J362" i="13"/>
  <c r="E8" i="12"/>
  <c r="F398" i="13" s="1"/>
  <c r="M12" i="13" s="1"/>
  <c r="N119" i="13"/>
  <c r="J38" i="2"/>
  <c r="Q49" i="6"/>
  <c r="R198" i="13" s="1"/>
  <c r="Z57" i="13"/>
  <c r="T57" i="13" s="1"/>
  <c r="B81" i="13"/>
  <c r="G38" i="2"/>
  <c r="D179" i="5"/>
  <c r="Q180" i="13"/>
  <c r="Q253" i="13" s="1"/>
  <c r="D186" i="5"/>
  <c r="D109" i="5"/>
  <c r="Q61" i="6"/>
  <c r="R210" i="13" s="1"/>
  <c r="Q79" i="6"/>
  <c r="R228" i="13" s="1"/>
  <c r="Q192" i="13"/>
  <c r="D130" i="5"/>
  <c r="D256" i="13"/>
  <c r="L256" i="13" s="1"/>
  <c r="F11" i="12"/>
  <c r="H401" i="13" s="1"/>
  <c r="O15" i="13" s="1"/>
  <c r="D95" i="5"/>
  <c r="Q55" i="6"/>
  <c r="R204" i="13" s="1"/>
  <c r="Q73" i="6"/>
  <c r="R222" i="13" s="1"/>
  <c r="Q70" i="6"/>
  <c r="R219" i="13" s="1"/>
  <c r="F9" i="12"/>
  <c r="H399" i="13" s="1"/>
  <c r="O13" i="13" s="1"/>
  <c r="D172" i="5"/>
  <c r="Q67" i="6"/>
  <c r="R216" i="13" s="1"/>
  <c r="Q85" i="6"/>
  <c r="R234" i="13" s="1"/>
  <c r="F10" i="12" l="1"/>
  <c r="H400" i="13" s="1"/>
  <c r="O14" i="13" s="1"/>
  <c r="J387" i="13"/>
  <c r="I76" i="13"/>
  <c r="Z76" i="13" s="1"/>
  <c r="T76" i="13" s="1"/>
  <c r="BG2" i="14" s="1"/>
  <c r="N144" i="13"/>
  <c r="E4" i="12"/>
  <c r="H71" i="13"/>
  <c r="G70" i="13"/>
  <c r="L9" i="13"/>
  <c r="U2" i="14" s="1"/>
  <c r="I395" i="13"/>
  <c r="P9" i="13" s="1"/>
  <c r="W2" i="14" s="1"/>
  <c r="I108" i="6"/>
  <c r="E108" i="6"/>
  <c r="G108" i="6"/>
  <c r="C108" i="6"/>
  <c r="Q256" i="13"/>
  <c r="L8" i="13"/>
  <c r="R2" i="14" s="1"/>
  <c r="E402" i="13"/>
  <c r="I394" i="13"/>
  <c r="P8" i="13" s="1"/>
  <c r="T2" i="14" s="1"/>
  <c r="G402" i="13"/>
  <c r="N16" i="13" s="1"/>
  <c r="AK2" i="14" s="1"/>
  <c r="N8" i="13"/>
  <c r="S2" i="14" s="1"/>
  <c r="J144" i="13"/>
  <c r="D4" i="12"/>
  <c r="K362" i="13"/>
  <c r="E398" i="13"/>
  <c r="J19" i="13"/>
  <c r="M2" i="14" s="1"/>
  <c r="H3" i="13"/>
  <c r="AY2" i="14"/>
  <c r="H362" i="13"/>
  <c r="G43" i="8"/>
  <c r="L362" i="13" s="1"/>
  <c r="D8" i="12"/>
  <c r="Q257" i="13"/>
  <c r="D257" i="13"/>
  <c r="B257" i="13"/>
  <c r="F257" i="13"/>
  <c r="H257" i="13"/>
  <c r="Q104" i="6"/>
  <c r="D5" i="12"/>
  <c r="L16" i="13" l="1"/>
  <c r="AJ2" i="14" s="1"/>
  <c r="E404" i="13"/>
  <c r="I402" i="13"/>
  <c r="D394" i="13"/>
  <c r="K8" i="13" s="1"/>
  <c r="D12" i="12"/>
  <c r="F4" i="12"/>
  <c r="H394" i="13" s="1"/>
  <c r="O8" i="13" s="1"/>
  <c r="D395" i="13"/>
  <c r="K9" i="13" s="1"/>
  <c r="F5" i="12"/>
  <c r="H395" i="13" s="1"/>
  <c r="O9" i="13" s="1"/>
  <c r="I71" i="13"/>
  <c r="H70" i="13"/>
  <c r="I70" i="13" s="1"/>
  <c r="Z70" i="13" s="1"/>
  <c r="T70" i="13" s="1"/>
  <c r="D398" i="13"/>
  <c r="K12" i="13" s="1"/>
  <c r="F8" i="12"/>
  <c r="H398" i="13" s="1"/>
  <c r="O12" i="13" s="1"/>
  <c r="I398" i="13"/>
  <c r="P12" i="13" s="1"/>
  <c r="L12" i="13"/>
  <c r="F394" i="13"/>
  <c r="M8" i="13" s="1"/>
  <c r="E12" i="12"/>
  <c r="F402" i="13" s="1"/>
  <c r="M16" i="13" s="1"/>
  <c r="D402" i="13" l="1"/>
  <c r="K16" i="13" s="1"/>
  <c r="F12" i="12"/>
  <c r="P16" i="13"/>
  <c r="I404" i="13"/>
  <c r="BD2" i="14"/>
  <c r="T79" i="13"/>
  <c r="G26" i="13" l="1"/>
  <c r="H402" i="13"/>
  <c r="O16" i="13" s="1"/>
  <c r="BH2" i="14"/>
  <c r="D79" i="13"/>
  <c r="M4" i="13" s="1"/>
  <c r="G404" i="13"/>
  <c r="I406" i="13"/>
  <c r="E406" i="13"/>
  <c r="L2" i="14"/>
  <c r="AL2" i="14"/>
  <c r="G406" i="13" l="1"/>
  <c r="Z98" i="13"/>
  <c r="T98" i="13" s="1"/>
  <c r="D414" i="13" s="1"/>
  <c r="D415" i="13" s="1"/>
  <c r="Q17" i="13" s="1"/>
  <c r="E412" i="13" l="1"/>
  <c r="L17" i="13" s="1"/>
  <c r="I412" i="13"/>
  <c r="P17" i="13" l="1"/>
  <c r="G412" i="13"/>
  <c r="N17" i="13" s="1"/>
  <c r="AM2" i="14"/>
  <c r="M19" i="13"/>
  <c r="P19" i="13" s="1"/>
  <c r="O2" i="14" s="1"/>
  <c r="M20" i="13" l="1"/>
  <c r="M21" i="13"/>
  <c r="M22" i="13" s="1"/>
  <c r="P21" i="13" s="1"/>
  <c r="Q2" i="14" s="1"/>
  <c r="AN2" i="14"/>
  <c r="N2" i="14"/>
  <c r="AO2" i="14"/>
  <c r="P20" i="13" l="1"/>
  <c r="P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X028778</author>
  </authors>
  <commentList>
    <comment ref="D2" authorId="0" shapeId="0" xr:uid="{00000000-0006-0000-0100-000001000000}">
      <text>
        <r>
          <rPr>
            <sz val="9"/>
            <color indexed="81"/>
            <rFont val="Tahoma"/>
            <family val="2"/>
          </rPr>
          <t>Si el formato no es correcto o se introduce un espacio final, no importará los datos de extra</t>
        </r>
      </text>
    </comment>
    <comment ref="A7" authorId="0" shapeId="0" xr:uid="{00000000-0006-0000-0100-000002000000}">
      <text>
        <r>
          <rPr>
            <b/>
            <sz val="9"/>
            <color indexed="81"/>
            <rFont val="Tahoma"/>
            <family val="2"/>
          </rPr>
          <t>Artículo 2</t>
        </r>
        <r>
          <rPr>
            <sz val="9"/>
            <color indexed="81"/>
            <rFont val="Tahoma"/>
            <family val="2"/>
          </rPr>
          <t xml:space="preserve">
</t>
        </r>
        <r>
          <rPr>
            <b/>
            <sz val="9"/>
            <color indexed="81"/>
            <rFont val="Tahoma"/>
            <family val="2"/>
          </rPr>
          <t>2. Proyecto de colaboración entre empresas</t>
        </r>
        <r>
          <rPr>
            <sz val="9"/>
            <color indexed="81"/>
            <rFont val="Tahoma"/>
            <family val="2"/>
          </rPr>
          <t xml:space="preserve">, que cumpla las siguientes condiciones: 
a) Que el proyecto implique la colaboración efectiva entre al menos dos empresas independientes, 
b) al menos una de ellas sea PYME y 
c) ninguna de ellas corra por sí sola con más del 70% de los gastos subvencionables. 
Los proyectos que no cumplan estas condiciones serán considerados proyectos individuales a efectos de la intensidad de la ayuda.
Igualmente, en el caso de que una empresa radicada en Navarra solicite ayuda para un proyecto de colaboración realizado con otra u otras empresas no radicadas en Navarra, la ayuda a conceder a la empresa navarra tendrá la intensidad correspondiente a un proyecto individual.
</t>
        </r>
        <r>
          <rPr>
            <b/>
            <sz val="9"/>
            <color indexed="81"/>
            <rFont val="Tahoma"/>
            <family val="2"/>
          </rPr>
          <t>3. Proyecto de transferencia del conocimiento</t>
        </r>
        <r>
          <rPr>
            <sz val="9"/>
            <color indexed="81"/>
            <rFont val="Tahoma"/>
            <family val="2"/>
          </rPr>
          <t xml:space="preserve">, que será el realizado entre una o varias empresas y uno o varios organismos de investigación y difusión de conocimientos situados en Navarra, que cumpla las siguientes condiciones: 
a) el proyecto implique la colaboración efectiva entre las partes, 
b) el organismo de investigación asuma como mínimo el 10% de los costes subvencionables y tenga derecho a publicar los resultados de su propia investigación, 
c) la suma de los porcentajes de participación empresarial sea superior al 50% del presupuesto total presentado, 
d) la coordinación y el liderazgo del proyecto la ejerza una de las empresas participantes y 
e) que las actividades desarrolladas por los organismos de investigación sean actividades no económicas en la forma establecida en la sección 2.1.1 del Marco sobre ayudas estatales de investigación y desarrollo e innovación (2014/C 198/01).
La definición de “organismo de investigación y difusión de conocimientos” será la recogida en el apartado 83) del artículo 2 del Reglamento (UE) número 651/2014, y la definición de “colaboración efectiva” la del apartado 90) del mismo artículo.
</t>
        </r>
      </text>
    </comment>
    <comment ref="L31" authorId="0" shapeId="0" xr:uid="{00000000-0006-0000-0100-000003000000}">
      <text>
        <r>
          <rPr>
            <b/>
            <sz val="9"/>
            <color indexed="81"/>
            <rFont val="Tahoma"/>
            <family val="2"/>
          </rPr>
          <t>Artículo 12.</t>
        </r>
        <r>
          <rPr>
            <sz val="9"/>
            <color indexed="81"/>
            <rFont val="Tahoma"/>
            <family val="2"/>
          </rPr>
          <t xml:space="preserve"> Subcontratación y relación con empresas vinculadas. 
Cuando la subcontratación sea superior a 60.000 euros y exceda del 20 por 100 del importe de la subvención concedida, estará sometida a la celebración por escrito de un contrato que deberá presentarse junto con la documentación justificativa</t>
        </r>
      </text>
    </comment>
    <comment ref="I56" authorId="0" shapeId="0" xr:uid="{00000000-0006-0000-0100-000004000000}">
      <text>
        <r>
          <rPr>
            <sz val="9"/>
            <color indexed="81"/>
            <rFont val="Tahoma"/>
            <family val="2"/>
          </rPr>
          <t xml:space="preserve">Calcula la media si hay dos puntuaciones.
</t>
        </r>
      </text>
    </comment>
    <comment ref="T56" authorId="0" shapeId="0" xr:uid="{00000000-0006-0000-0100-000005000000}">
      <text>
        <r>
          <rPr>
            <sz val="9"/>
            <color indexed="81"/>
            <rFont val="Tahoma"/>
            <family val="2"/>
          </rPr>
          <t xml:space="preserve">Puntuación conjunta con los socios.
a, b, c y d es la media, sin tener en cuenta los ceros.
e, f, g, h e i, es el máximo
</t>
        </r>
      </text>
    </comment>
    <comment ref="Z56" authorId="0" shapeId="0" xr:uid="{00000000-0006-0000-0100-000006000000}">
      <text>
        <r>
          <rPr>
            <sz val="9"/>
            <color indexed="81"/>
            <rFont val="Tahoma"/>
            <family val="2"/>
          </rPr>
          <t>Toma los datos de la columna i, para poder aplicar la fórmula conjunta</t>
        </r>
      </text>
    </comment>
    <comment ref="A77" authorId="0" shapeId="0" xr:uid="{00000000-0006-0000-0100-000007000000}">
      <text>
        <r>
          <rPr>
            <b/>
            <sz val="9"/>
            <color indexed="81"/>
            <rFont val="Tahoma"/>
            <charset val="1"/>
          </rPr>
          <t xml:space="preserve">Se otorgarán los siguientes puntos:
- 5 puntos: proyectos colaborativos o de transferencia, participen al menos una empresa de alguno de los sectores de la S3 y al menos una empresa de alguna de las tecnologías estratégicas: TIC, Biotecnología y Manufactura avanzada.
- 0 puntos: no cumple.
</t>
        </r>
      </text>
    </comment>
    <comment ref="T82" authorId="0" shapeId="0" xr:uid="{00000000-0006-0000-0100-000008000000}">
      <text>
        <r>
          <rPr>
            <sz val="9"/>
            <color indexed="81"/>
            <rFont val="Tahoma"/>
            <family val="2"/>
          </rPr>
          <t xml:space="preserve">Puntuación conjunta con los socios.
a, b, c y d es la media, sin tener en cuenta los ceros.
e, f, g, h e i, es el máximo
</t>
        </r>
      </text>
    </comment>
    <comment ref="Z82" authorId="0" shapeId="0" xr:uid="{00000000-0006-0000-0100-000009000000}">
      <text>
        <r>
          <rPr>
            <sz val="9"/>
            <color indexed="81"/>
            <rFont val="Tahoma"/>
            <family val="2"/>
          </rPr>
          <t>Toma los datos de la columna i, para poder aplicar la fórmula conjunta</t>
        </r>
      </text>
    </comment>
    <comment ref="B85" authorId="0" shapeId="0" xr:uid="{00000000-0006-0000-0100-00000A000000}">
      <text>
        <r>
          <rPr>
            <b/>
            <sz val="9"/>
            <color indexed="81"/>
            <rFont val="Tahoma"/>
            <family val="2"/>
          </rPr>
          <t>No poner punto y coma.</t>
        </r>
        <r>
          <rPr>
            <sz val="9"/>
            <color indexed="81"/>
            <rFont val="Tahoma"/>
            <family val="2"/>
          </rPr>
          <t xml:space="preserve">
En los proyectos de Colaborarión y transferencia, hacerlo en el coordinador y copiarlo al resto. Si se modifica, hacer lo mismo.</t>
        </r>
      </text>
    </comment>
    <comment ref="E95" authorId="0" shapeId="0" xr:uid="{00000000-0006-0000-0100-00000B000000}">
      <text>
        <r>
          <rPr>
            <sz val="9"/>
            <color indexed="81"/>
            <rFont val="Tahoma"/>
            <family val="2"/>
          </rPr>
          <t>Se pueden leer a partir de la celda U32</t>
        </r>
        <r>
          <rPr>
            <b/>
            <sz val="9"/>
            <color indexed="81"/>
            <rFont val="Tahoma"/>
            <family val="2"/>
          </rPr>
          <t xml:space="preserve">
</t>
        </r>
      </text>
    </comment>
    <comment ref="A117" authorId="0" shapeId="0" xr:uid="{00000000-0006-0000-0100-00000C000000}">
      <text>
        <r>
          <rPr>
            <sz val="9"/>
            <color indexed="81"/>
            <rFont val="Tahoma"/>
            <family val="2"/>
          </rPr>
          <t xml:space="preserve">Gastos de amortización de equipos, de patentes y de modelos de utilidad, en la medida y durante el periodo en que esos elementos patrimoniales se utilicen para el proyecto. Respecto a estos gastos se deberá tener en cuenta lo siguiente: 
1. Se excluyen los costes de amortización de equipos, de patentes y de modelos de utilidad cuya adquisición haya sido objeto de cualquier otra subvención o ayuda pública. 
2. Se financiará el equipamiento necesario para la realización del proyecto excluyendo los dispositivos informáticos de uso genérico (PC, ordenadores portátiles, impreso-ras...). 
3. También se subvencionarán los gastos que esos elementos patrimoniales ocasionen durante la realización del proyecto, en el supuesto de que se utilicen bajo las modalidades de arrendamiento financiero u operativo y similar, excluyendo la parte de la cuota correspondiente a los intereses. 
4. A los efectos de estas ayudas, se aplicará la amortización por tablas con arreglo a los coeficientes y periodos indicados en el artículo 2 del Reglamento del Impuesto sobre Sociedades aprobado por Decreto Foral 282/1997, de 13 de octubre.
</t>
        </r>
      </text>
    </comment>
    <comment ref="I162" authorId="0" shapeId="0" xr:uid="{00000000-0006-0000-0100-00000D000000}">
      <text>
        <r>
          <rPr>
            <b/>
            <sz val="9"/>
            <color indexed="81"/>
            <rFont val="Tahoma"/>
            <family val="2"/>
          </rPr>
          <t xml:space="preserve">En el caso de que la beneficiaria sea una empresaria o empresario individual y con el fin de tener en cuenta el coste de oportunidad, es decir, el hecho de que durante el tiempo dedicado al proyecto de I+D la persona autónoma no factura (lo que provoca que sus ingresos sean menores) se establecen los siguientes costes salariales
CUALIFICACIÓN  EUROS/HORA 
Doctorado  40 
Máster  35 
Titulación universitaria/Grado  30 
Formación profesional (FP) o bachiller  25 
Sin cualificación  20 
</t>
        </r>
      </text>
    </comment>
    <comment ref="A321" authorId="0" shapeId="0" xr:uid="{00000000-0006-0000-0100-00000E000000}">
      <text>
        <r>
          <rPr>
            <b/>
            <sz val="9"/>
            <color indexed="81"/>
            <rFont val="Tahoma"/>
            <family val="2"/>
          </rPr>
          <t>Artículo 12.</t>
        </r>
        <r>
          <rPr>
            <sz val="9"/>
            <color indexed="81"/>
            <rFont val="Tahoma"/>
            <family val="2"/>
          </rPr>
          <t xml:space="preserve"> Subcontratación y relación con empresas vinculadas. 
1. Se entiende por subcontratación cuando una beneficiaria concierta con terceros la ejecución parcial del proyecto de I+D, aun tratándose de actividades que podría realizar por sí misma al disponer de medios propios para ello. 
Cuando la subcontratación sea </t>
        </r>
        <r>
          <rPr>
            <b/>
            <sz val="9"/>
            <color indexed="81"/>
            <rFont val="Tahoma"/>
            <family val="2"/>
          </rPr>
          <t>superior a 60.000 euros y exceda del 20 por 100</t>
        </r>
        <r>
          <rPr>
            <sz val="9"/>
            <color indexed="81"/>
            <rFont val="Tahoma"/>
            <family val="2"/>
          </rPr>
          <t xml:space="preserve"> del importe de la subvención concedida, estará sometida a la celebración por escrito de un contrato que deberá presentarse junto con la documentación justificativa.
2. Podrá subcontratarse con terceros</t>
        </r>
        <r>
          <rPr>
            <b/>
            <sz val="9"/>
            <color indexed="81"/>
            <rFont val="Tahoma"/>
            <family val="2"/>
          </rPr>
          <t xml:space="preserve"> hasta el 50 por 100 del importe del gasto objeto de subvención</t>
        </r>
        <r>
          <rPr>
            <sz val="9"/>
            <color indexed="81"/>
            <rFont val="Tahoma"/>
            <family val="2"/>
          </rPr>
          <t xml:space="preserve">. En ningún caso, las partes de un proyecto de colaboración podrán subcontratar entre ellas actividades del proyecto.
3. En el caso de las </t>
        </r>
        <r>
          <rPr>
            <b/>
            <sz val="9"/>
            <color indexed="81"/>
            <rFont val="Tahoma"/>
            <family val="2"/>
          </rPr>
          <t>empresas vinculadas</t>
        </r>
        <r>
          <rPr>
            <sz val="9"/>
            <color indexed="81"/>
            <rFont val="Tahoma"/>
            <family val="2"/>
          </rPr>
          <t xml:space="preserve">, la beneficiaria podrá contratar o subcontratar con ellas la ejecución parcial del proyecto de I+D siempre que concurran las siguientes circunstancias: 
a) Que se trate de gastos subvencionables definidos en el artículo 4 de esta Orden Foral. 
b) Que se haga constar en la solicitud de las ayudas y se autorice por el órgano concedente mediante la inclusión de dicho gasto como subvencionable en la resolución de concesión. 
c) Que la justificación de estos gastos se realice mediante la presentación de una factura entre la beneficiaria y su vinculada y su documento de pago. Además se presentarán los documentos que sustenten los conceptos de la factura en la misma forma en que los justificaría directamente la beneficiaria (por ejemplo, nóminas para justificación de los costes de personal, factura de un tercero para materiales, etc.). 
No se aceptará la sobreimputación de costes por aplicación del beneficio industrial u otras causas. 
A efectos de lo dispuesto en este apartado, se consideran “empresas vinculadas” aquellas entre las que exista alguna de las relaciones establecidas en el artículo 68.2 del Reglamento de la Ley General de Subvenciones aprobado por el Real Decreto 887/2006, de 21 de julio.
</t>
        </r>
      </text>
    </comment>
    <comment ref="A388" authorId="0" shapeId="0" xr:uid="{00000000-0006-0000-0100-00000F000000}">
      <text>
        <r>
          <rPr>
            <sz val="9"/>
            <color indexed="81"/>
            <rFont val="Tahoma"/>
            <family val="2"/>
          </rPr>
          <t>Artículo 4, 1.3. Los organismos de investigación y difusión de conocimientos podrán imputar como coste indirecto hasta el 15% de los costes directos de personal subvencionables. Estos costes indirectos en que se hayan incurrido durante la ejecución de los proyectos, estarán basados en costes reales imputables a la ejecución de la operación en cuestión, de acuerdo con los principios y normas de contabilidad generalmente admitidas, o bien en costes medios reales imputables a operaciones del mismo tipo.</t>
        </r>
      </text>
    </comment>
    <comment ref="A392" authorId="0" shapeId="0" xr:uid="{00000000-0006-0000-0100-000010000000}">
      <text>
        <r>
          <rPr>
            <b/>
            <sz val="9"/>
            <color indexed="81"/>
            <rFont val="Tahoma"/>
            <family val="2"/>
          </rPr>
          <t>Artículo 4.</t>
        </r>
        <r>
          <rPr>
            <sz val="9"/>
            <color indexed="81"/>
            <rFont val="Tahoma"/>
            <family val="2"/>
          </rPr>
          <t xml:space="preserve">
2. Si el proyecto comprende la realización de varios subproyectos con objetivos diferentes entre sí (proyecto multiobjetivo), se deberán identificar y clasificar los gastos para cada subproyecto.
3. En el caso de los prototipos fabricados en el curso del proyecto de I+D que se comercialicen o se empleen en la actividad productiva, el coste de los materiales utilizados en su fabricación no formará parte de los gastos subvencionables. 
También se descontarán de los gastos del proyecto los ingresos obtenidos por la venta o aprovecha-miento productivo de subproductos, residuos y materiales de recuperación obtenidos. 
4. Cuando alguno de los gastos subvencionables supere los 12.000 euros (IVA excluido) por suministro de bienes de equipo o prestación de servicios, se deberá cumplimentar el formulario “Justificación de la elección de proveedor”, que acreditará que la elección del mismo se ha realizado con criterios de eficiencia y economía. Se adjuntará para ello un mínimo de tres ofertas y se justificará la elección de la oferta seleccionada. 
Queda exceptuada de justificar la elección del proveedor la beneficiaria que incurra en un gasto con una empresa vinculada, en cuyo caso la justificación se realizará en la forma indicada en el artículo 12.3 de esta Orden Foral.
5. No serán subvencionables, aunque tengan alguna relación con las actividades del proyecto, los siguientes gastos: 
a) Los gastos de formación del personal. 
b) Los gastos relativos a la documentación del proyecto. 
c) Los gastos de consultoría y de certificación asociados a la gestión del proyecto y a la tramitación de las solicitudes de subvenciones. 
d) Los gastos de administración y de material de oficina.
e) Los gastos de viajes, dietas y kilometraje, estancia y locomoción.
Las empresas medianas y pequeñas deberán adjuntar a la solicitud las cuentas cerradas de los 3 últimos ejercicios, así como el número de trabajadores y trabajadoras, tanto de la solicitante como de sus empresas asociadas y vinculadas, con el objeto de comprobar el tamaño de la empresa. En caso contrario la intensidad de la ayuda a conceder será la indicada en el artículo 7 de esta Orden Foral para las grandes empresas.
</t>
        </r>
      </text>
    </comment>
  </commentList>
</comments>
</file>

<file path=xl/sharedStrings.xml><?xml version="1.0" encoding="utf-8"?>
<sst xmlns="http://schemas.openxmlformats.org/spreadsheetml/2006/main" count="1159" uniqueCount="749">
  <si>
    <t>Nombre:</t>
  </si>
  <si>
    <t>Primer apellido:</t>
  </si>
  <si>
    <t>Segundo apellido:</t>
  </si>
  <si>
    <t>Tel. directo:</t>
  </si>
  <si>
    <t>E-mail:</t>
  </si>
  <si>
    <t>Cargo:</t>
  </si>
  <si>
    <t>3. DATOS DEL PROYECTO</t>
  </si>
  <si>
    <t xml:space="preserve">para incluir un salto de párrafo presione simultáneamente ALT +INTRO </t>
  </si>
  <si>
    <t>3.1. TÍTULO DEL PROYECTO</t>
  </si>
  <si>
    <t>En caso de proyecto en colaboración o de transferencia del conocimiento, ¿el solicitante ejerce de coordinador del proyecto?</t>
  </si>
  <si>
    <t>3.6. PERSONA RESPONSABLE DEL PROYECTO</t>
  </si>
  <si>
    <t>Anualidad 1</t>
  </si>
  <si>
    <t>Anualidad 2</t>
  </si>
  <si>
    <t>3.4. ORGANISMOS/PROGRAMAS A LOS QUE SE HA SOLICITADO FINANCIACIÓN</t>
  </si>
  <si>
    <t>3.5. RESUMEN DEL PROYECTO</t>
  </si>
  <si>
    <t>Fecha de inicio:</t>
  </si>
  <si>
    <t>Fecha de fin:</t>
  </si>
  <si>
    <t xml:space="preserve"> 3.2. PERIODO DE EJECUCIÓN DEL PROYECTO</t>
  </si>
  <si>
    <t xml:space="preserve">Proyecto </t>
  </si>
  <si>
    <t>En caso de que el solicitante sea un Organismo de Investiganción ¿dispone de una contabilidad que permita distinguir actividades económicas y no económicas?</t>
  </si>
  <si>
    <t>Empresa coordinadora del proyecto</t>
  </si>
  <si>
    <r>
      <t xml:space="preserve">3.3. TIPO DE PROYECTO: </t>
    </r>
    <r>
      <rPr>
        <sz val="11"/>
        <rFont val="Arial"/>
        <family val="2"/>
      </rPr>
      <t>(Seleccionar del desplegable)</t>
    </r>
  </si>
  <si>
    <t>CIF:</t>
  </si>
  <si>
    <t>Acrónimo:</t>
  </si>
  <si>
    <t>Grupo empresarial:</t>
  </si>
  <si>
    <t>Domicilio social:</t>
  </si>
  <si>
    <t>Tipo:</t>
  </si>
  <si>
    <t>Dirección:</t>
  </si>
  <si>
    <t>Codigo Postal:</t>
  </si>
  <si>
    <t>Localidad:</t>
  </si>
  <si>
    <t>Provincia:</t>
  </si>
  <si>
    <t>Web:</t>
  </si>
  <si>
    <t>Año de constitución:</t>
  </si>
  <si>
    <t>Persona de contacto</t>
  </si>
  <si>
    <t>Año datos:</t>
  </si>
  <si>
    <t>Empleados:</t>
  </si>
  <si>
    <t>Nº</t>
  </si>
  <si>
    <t xml:space="preserve">Teléfono1:  </t>
  </si>
  <si>
    <t xml:space="preserve">Teléfono2:  </t>
  </si>
  <si>
    <t>Facturación:</t>
  </si>
  <si>
    <t>Activo total:</t>
  </si>
  <si>
    <t>Datos económicos de los últimos tres ejercicios cerrados (€)</t>
  </si>
  <si>
    <t>(1)</t>
  </si>
  <si>
    <t>(2)</t>
  </si>
  <si>
    <t>Tamaño de empresa</t>
  </si>
  <si>
    <t>Contacto (mail-Tfno)</t>
  </si>
  <si>
    <t>1. IDENTIFICACIÓN DEL SOLICITANTE</t>
  </si>
  <si>
    <t>Tipo de solicitante</t>
  </si>
  <si>
    <t>Razón social del solicitante:</t>
  </si>
  <si>
    <t>Introducir Código Postal</t>
  </si>
  <si>
    <t>Actividad de la empresa:</t>
  </si>
  <si>
    <t>Dirección completa (si es distinta del domicilio social):</t>
  </si>
  <si>
    <r>
      <t>CNAE-2009 de la actividad principal con 4 dígitos</t>
    </r>
    <r>
      <rPr>
        <b/>
        <sz val="10"/>
        <color indexed="10"/>
        <rFont val="Arial Narrow"/>
        <family val="2"/>
      </rPr>
      <t xml:space="preserve"> (1)</t>
    </r>
    <r>
      <rPr>
        <b/>
        <sz val="10"/>
        <rFont val="Arial Narrow"/>
        <family val="2"/>
      </rPr>
      <t>:</t>
    </r>
  </si>
  <si>
    <r>
      <t xml:space="preserve">Nº de inscripción en el </t>
    </r>
    <r>
      <rPr>
        <b/>
        <sz val="10"/>
        <rFont val="Arial Narrow"/>
        <family val="2"/>
      </rPr>
      <t>Registro Industrial de Navarra</t>
    </r>
    <r>
      <rPr>
        <sz val="10"/>
        <rFont val="Arial Narrow"/>
        <family val="2"/>
      </rPr>
      <t xml:space="preserve"> (si procede)</t>
    </r>
    <r>
      <rPr>
        <sz val="10"/>
        <color indexed="10"/>
        <rFont val="Arial Narrow"/>
        <family val="2"/>
      </rPr>
      <t xml:space="preserve"> </t>
    </r>
    <r>
      <rPr>
        <b/>
        <sz val="10"/>
        <color indexed="10"/>
        <rFont val="Arial Narrow"/>
        <family val="2"/>
      </rPr>
      <t>(2)</t>
    </r>
  </si>
  <si>
    <t>% PARTICIPACIÓN</t>
  </si>
  <si>
    <t xml:space="preserve">AMORTIZACIONES ACTIVOS </t>
  </si>
  <si>
    <t>NOMBRE O RAZÓN SOCIAL</t>
  </si>
  <si>
    <t>RAZÓN SOCIAL</t>
  </si>
  <si>
    <t>ACTIVIDAD PRINCIPAL</t>
  </si>
  <si>
    <t>Cargo</t>
  </si>
  <si>
    <t>TOTAL</t>
  </si>
  <si>
    <t>Horas de dedicación</t>
  </si>
  <si>
    <t>Total</t>
  </si>
  <si>
    <t>Descripción</t>
  </si>
  <si>
    <t>     </t>
  </si>
  <si>
    <t xml:space="preserve">Total </t>
  </si>
  <si>
    <t xml:space="preserve">PERSONAL </t>
  </si>
  <si>
    <t xml:space="preserve">COLABORACIONES EXTERNAS </t>
  </si>
  <si>
    <t>COSTES INDIRECTOS</t>
  </si>
  <si>
    <t>Presupuesto (€)</t>
  </si>
  <si>
    <t xml:space="preserve">PRESUPUESTO TOTAL DEL PROYECTO (€) </t>
  </si>
  <si>
    <t>Coste total (€) = Coste hora x nº horas</t>
  </si>
  <si>
    <t>Nº de horas anuales trabajadas en la empresa según convenio</t>
  </si>
  <si>
    <t>Función en el proyecto  (*)</t>
  </si>
  <si>
    <t>Dedicado en exclusiva a I+D (Sí/No)</t>
  </si>
  <si>
    <t>TOTALES</t>
  </si>
  <si>
    <t>NO</t>
  </si>
  <si>
    <t>Importe de adquisición</t>
  </si>
  <si>
    <t>Hombre/Mujer (H/M)</t>
  </si>
  <si>
    <t>DATOS NECESARIOS PARA DETERMINAR EL TAMAÑO DE LA EMPRESA (ANEXO I DEL REGLAMENTO (UE) Nº 651/2014).</t>
  </si>
  <si>
    <t>http://smetest.uwe.be/</t>
  </si>
  <si>
    <t>1- RELACIÓN DE ACCIONISTAS DE LA EMPRESA (tanto personas físicas como jurídicas)</t>
  </si>
  <si>
    <t>2- RELACIÓN DE EMPRESAS FILIALES O PARTICIPADAS POR LA EMPRESA</t>
  </si>
  <si>
    <t>3- Si una o más personas físicas son, de forma conjunta, accionistas mayoritarios de la empresa solicitante y también de otra u otras, indicar los siguientes datos de dichas empresas:</t>
  </si>
  <si>
    <t>% PARTICIPACIÓN CONJUNTO</t>
  </si>
  <si>
    <t>SI</t>
  </si>
  <si>
    <t>TABLA A</t>
  </si>
  <si>
    <t>Nº de empleados</t>
  </si>
  <si>
    <t>Facturación (€)</t>
  </si>
  <si>
    <t>Activo total (€)</t>
  </si>
  <si>
    <t>¿Esta empresa tiene empresas vinculadas?</t>
  </si>
  <si>
    <t>¿Esta empresa tiene empresas asociadas?</t>
  </si>
  <si>
    <t>Listado de empresas vinculadas</t>
  </si>
  <si>
    <t>Listado empresas asociadas</t>
  </si>
  <si>
    <t xml:space="preserve">En caso de que la empresa de esta tabla tenga empresas vinculadas deberá rellenar otra tabla con los datos de la empresa vinculada. En caso de que la empresa de la tabla sea vinculada a la solicitante y tenga empresas asociadas, también deberán incluirse </t>
  </si>
  <si>
    <t>2. TAMAÑO DE EMPRESA</t>
  </si>
  <si>
    <t>Convenio 2</t>
  </si>
  <si>
    <t>Convenio 3</t>
  </si>
  <si>
    <t>Denominación equipo (1)</t>
  </si>
  <si>
    <t>(2) Fecha de inicio del periodo de amortización del equipo, de acuerdo con las prácticas contables de la empresa. Formato día/mes/año.</t>
  </si>
  <si>
    <t>(4) El porcentaje de dedicación en el año variará entre 0% si el equipo no se dedica al proyecto durante ese año y el 100% cuando el activo se dedica exclusivamente al proyecto durante dicho año.</t>
  </si>
  <si>
    <t>(6) Importe Amortización año = Cuota Anual de Amortización * (Porcentaje de dedicación del activo al proyecto en ese año) / 100 * Meses imputables del año / 12.</t>
  </si>
  <si>
    <t>Fecha inicio amortización (2)</t>
  </si>
  <si>
    <t>Cuota anual amortización (3)</t>
  </si>
  <si>
    <t>% Dedicación (4)</t>
  </si>
  <si>
    <t xml:space="preserve"> Meses Imputables (5)</t>
  </si>
  <si>
    <t>Importe (6)</t>
  </si>
  <si>
    <t xml:space="preserve">MATERIALES </t>
  </si>
  <si>
    <t>Nombre y apellidos</t>
  </si>
  <si>
    <t>Coste hora (€/h.) **</t>
  </si>
  <si>
    <t>OTROS COSTES</t>
  </si>
  <si>
    <t>(5) Meses de amortización del equipo imputables al proyecto</t>
  </si>
  <si>
    <t>(**) Se obtendrá por cociente entre la retribución bruta anual más la Seguridad Social a cargo de la empresa y el número de horas anuales de trabajo. Puede ser diferente para cada uno de los ejercicios.</t>
  </si>
  <si>
    <t>Titulado universitario</t>
  </si>
  <si>
    <t>LISTADO DE PERSONAL DE LA EMPRESA QUE PARTICIPA EN EL PROYECTO</t>
  </si>
  <si>
    <t>http://www.navarra.es/home_es/Gobierno+de+Navarra/Organigrama/Los+departamentos/Economia+y+Hacienda/Organigrama/Estructura+Organica/Hacienda/Informacion+Fiscal/Preguntas+mas+frecuentes/Impuesto+sobre+sociedades/Base/coeficientes_amortizacion.htm</t>
  </si>
  <si>
    <t>Costes Indirectos (sólo para Organismos de Investigación)</t>
  </si>
  <si>
    <t>EJC proyecto</t>
  </si>
  <si>
    <t>* Calculado con las horas de convenio generales</t>
  </si>
  <si>
    <t>Vinculada con el solicitante</t>
  </si>
  <si>
    <t>CCTT</t>
  </si>
  <si>
    <t>ICTS</t>
  </si>
  <si>
    <t>TOTAL COLABORACIONES POR TIPO DE COLABORADOR  (€)</t>
  </si>
  <si>
    <t>PORCENTAJE DE HORAS</t>
  </si>
  <si>
    <t>Empresas, Universidades, Centros Tecnológicos (CT) o infraestructuras científico tecnológicas singulares (ICTS) que colaboran</t>
  </si>
  <si>
    <t>Universidades</t>
  </si>
  <si>
    <t>Presupuesto Anualidad 1 (€)</t>
  </si>
  <si>
    <t>Presupuesto Anualidad 2 (€)</t>
  </si>
  <si>
    <t>Tipo de colaborador (empresa, CT, Universidad o ICTS)</t>
  </si>
  <si>
    <t>ICTS, CT o Universidades</t>
  </si>
  <si>
    <t>Otras colaboraciones (empresas)</t>
  </si>
  <si>
    <t>Empresas</t>
  </si>
  <si>
    <t>Universidades+ CCTT+ ICTS</t>
  </si>
  <si>
    <t>Entidades vinculadas</t>
  </si>
  <si>
    <t>(*) Las tareas de cada persona participante en el proyecto deberán desglosarse y explicarse de forma conveniente en la memoria descriptiva del proyecto.</t>
  </si>
  <si>
    <t>3.7. PRESUPUESTO DEL PROYECTO POR AÑOS</t>
  </si>
  <si>
    <t>3.7.2. PERSONAL DE LA EMPRESA QUE PARTICIPA EN EL PROYECTO</t>
  </si>
  <si>
    <t xml:space="preserve">3.7.3. DESGLOSE DE LOS MATERIALES UTILIZADOS (componentes para construcción de prototipos, materiales fungibles, ...) </t>
  </si>
  <si>
    <t>3.7.4 COLABORACIONES EXTERNAS EN EL PROYECTO</t>
  </si>
  <si>
    <t>3.7.6. PRESUPUESTO TOTAL DEL PROYECTO POR ANUALIDADES</t>
  </si>
  <si>
    <t>(1) Se excluyen los costes de amortización de equipos, de patentes y de modelos de utilidad cuya adquisición haya sido objeto de cualquier otra subvención o ayuda pública.</t>
  </si>
  <si>
    <t>3.7.1. DETALLE DE LAS AMORTIZACIONES DE ACTIVOS</t>
  </si>
  <si>
    <t>Trabajadores del convenio 2</t>
  </si>
  <si>
    <t>Si alguno de los trabajadores imputados al proyecto dispone de un convenio de horas diferente, especifique las horas y los trabajadores a los que aplica</t>
  </si>
  <si>
    <t>Trabajadores del convenio 3</t>
  </si>
  <si>
    <t>3.7.5. OTROS COSTES</t>
  </si>
  <si>
    <t>TABLA B</t>
  </si>
  <si>
    <t>TABLA C</t>
  </si>
  <si>
    <t>TABLA D</t>
  </si>
  <si>
    <t>TABLA E</t>
  </si>
  <si>
    <t>TABLA F</t>
  </si>
  <si>
    <t>TABLA G</t>
  </si>
  <si>
    <t>TABLA H</t>
  </si>
  <si>
    <t>TABLA I</t>
  </si>
  <si>
    <t>TABLA J</t>
  </si>
  <si>
    <t xml:space="preserve">En caso de que la empresa no tenga trabajadores o no cotice por ellos, debe adjuntar una comunicación de cuál es su relación con la Seguridad Social (régimen general o régimen de autónomos) y justifique que se halla al corriente en el cumplimiento de sus </t>
  </si>
  <si>
    <t>BADAJOZ</t>
  </si>
  <si>
    <t>BALEARES</t>
  </si>
  <si>
    <t>BARCELONA</t>
  </si>
  <si>
    <t>BURGOS</t>
  </si>
  <si>
    <t>CIUDAD REAL</t>
  </si>
  <si>
    <t>CUENCA</t>
  </si>
  <si>
    <t>GIRONA</t>
  </si>
  <si>
    <t>GRANADA</t>
  </si>
  <si>
    <t>GUADALAJARA</t>
  </si>
  <si>
    <t>LUGO</t>
  </si>
  <si>
    <t>MADRID</t>
  </si>
  <si>
    <t>MURCIA</t>
  </si>
  <si>
    <t>NAVARRA</t>
  </si>
  <si>
    <t>ASTURIAS</t>
  </si>
  <si>
    <t>CANTABRIA</t>
  </si>
  <si>
    <t>SEGOVIA</t>
  </si>
  <si>
    <t>SEVILLA</t>
  </si>
  <si>
    <t>SORIA</t>
  </si>
  <si>
    <t>TARRAGONA</t>
  </si>
  <si>
    <t>TERUEL</t>
  </si>
  <si>
    <t>TOLEDO</t>
  </si>
  <si>
    <t>VALENCIA</t>
  </si>
  <si>
    <t>VALLADOLID</t>
  </si>
  <si>
    <t>VIZCAYA</t>
  </si>
  <si>
    <t>ZAMORA</t>
  </si>
  <si>
    <t>ZARAGOZA</t>
  </si>
  <si>
    <t>CEUTA</t>
  </si>
  <si>
    <t>MELILLA</t>
  </si>
  <si>
    <t>El solicitante declara que la empresa a la que representa</t>
  </si>
  <si>
    <t xml:space="preserve">En caso de respuesta negativa a la anterior cuestión, la empresa se compromete a no realizar ninguna utilización comercial posterior del prototipo o proyecto piloto incluido en el proyecto. </t>
  </si>
  <si>
    <t>PROTOTIPOS/PROYECTOS PILOTO</t>
  </si>
  <si>
    <t>SUBPRODUCTOS, RESIDUOS Y MATERIALES DE RECUPERACIÓN</t>
  </si>
  <si>
    <t>En caso de respuesta negativa a la anterior cuestión, la empresa se compromete a no realizar ninguna utilización comercial posterior de dichos productos.</t>
  </si>
  <si>
    <t>tiene previsto realizar un aprovechamiento productivo u obtener ingresos de los subproductos, residuos y materiales de recuperación generados durante la realización del proyecto.</t>
  </si>
  <si>
    <t>Empresa</t>
  </si>
  <si>
    <t>3.8. PRESUPUESTO DE INGRESOS DEL PROYECTO</t>
  </si>
  <si>
    <t>tiene previsto realizar una utilización comercial de los prototipos o proyectos piloto incluidos en el presupuesto del proyecto.</t>
  </si>
  <si>
    <t xml:space="preserve">En caso de respuesta afirmativa a la anterior cuestión, indique los ingresos previstos correspondientes a la utilización comercial del prototipo o proyecto piloto, cuantificados con arreglo a criterios objetivos. </t>
  </si>
  <si>
    <t xml:space="preserve">En caso de respuesta afirmativa a la anterior cuestión, indique de qué materiales se trata y estime los ingresos previstos. </t>
  </si>
  <si>
    <t>ALBACETE</t>
  </si>
  <si>
    <t>ALICANTE</t>
  </si>
  <si>
    <t>HUELVA</t>
  </si>
  <si>
    <t>HUESCA</t>
  </si>
  <si>
    <t>LA RIOJA</t>
  </si>
  <si>
    <t>PALENCIA</t>
  </si>
  <si>
    <t>PONTEVEDRA</t>
  </si>
  <si>
    <t>SALAMANCA</t>
  </si>
  <si>
    <t>GRANDE</t>
  </si>
  <si>
    <t>ORGANISMO DE INVESTIGACIÓN</t>
  </si>
  <si>
    <t>MEDIANA</t>
  </si>
  <si>
    <t>PEQUEÑA</t>
  </si>
  <si>
    <t>Organismo de Investigación</t>
  </si>
  <si>
    <t>ÁLAVA</t>
  </si>
  <si>
    <t>ALMERÍA</t>
  </si>
  <si>
    <t>ÁVILA</t>
  </si>
  <si>
    <t>CÁCERES</t>
  </si>
  <si>
    <t>CÁDIZ</t>
  </si>
  <si>
    <t>CASTELLÓN</t>
  </si>
  <si>
    <t>CÓRDOBA</t>
  </si>
  <si>
    <t>CORUÑA</t>
  </si>
  <si>
    <t>GUIPÚZCOA</t>
  </si>
  <si>
    <t>JAÉN</t>
  </si>
  <si>
    <t>LEÓN</t>
  </si>
  <si>
    <t>LLEIDA</t>
  </si>
  <si>
    <t>MÁLAGA</t>
  </si>
  <si>
    <t>ORENSE</t>
  </si>
  <si>
    <t>LAS PALMAS</t>
  </si>
  <si>
    <t>S.C. TENERIFE</t>
  </si>
  <si>
    <t>Validación de DNI / NIE / NIF Y CIF</t>
  </si>
  <si>
    <t>VALIDACIÓN COMO DNI, NIF O NIE</t>
  </si>
  <si>
    <t>VALIDACIÓN COMO CIF</t>
  </si>
  <si>
    <t>VALIDACIÓN CONJUNTA COMO DNI, NIF O NIE O BIEN COMO CIF</t>
  </si>
  <si>
    <t>Número a comprobar</t>
  </si>
  <si>
    <t>Operaciones sobre número para comprobar CIF</t>
  </si>
  <si>
    <t>F3</t>
  </si>
  <si>
    <t>K21</t>
  </si>
  <si>
    <t>J7 Y J18</t>
  </si>
  <si>
    <t>CALLE</t>
  </si>
  <si>
    <r>
      <t xml:space="preserve">Rellenar una </t>
    </r>
    <r>
      <rPr>
        <b/>
        <sz val="11"/>
        <color indexed="12"/>
        <rFont val="Arial Narrow"/>
        <family val="2"/>
      </rPr>
      <t xml:space="preserve">TABLA A </t>
    </r>
    <r>
      <rPr>
        <b/>
        <sz val="11"/>
        <rFont val="Arial Narrow"/>
        <family val="2"/>
      </rPr>
      <t>por cada una de las siguientes empresas: la empresa beneficiaria, las que tengan un porcentaje de participación igual o superior al 25% en las tablas 1 y 2 y todas las empresas de la tabla 3. Para ello, se puede copiar la tabla tantas veces como se necesite. Poned el nombre de la empresa a la que pertenecen los datos en cada tabla</t>
    </r>
  </si>
  <si>
    <t>Nota: esta información deben cumplimentarla todas las solicitantes aunque solo las PYME deberán adjuntar a la solicitud las cuentas cerradas de los últimos 3 ejercicios, así como el número de trabajadores y trabajadoras, tanto de la solicitante como de sus empresas asociadas y vinculadas.</t>
  </si>
  <si>
    <t>Accionistas comunes
(de la tabla 1)</t>
  </si>
  <si>
    <t>H</t>
  </si>
  <si>
    <t>M</t>
  </si>
  <si>
    <t>Doctor</t>
  </si>
  <si>
    <t>CT</t>
  </si>
  <si>
    <t>Universidad</t>
  </si>
  <si>
    <t>Maximas horas de los convenios</t>
  </si>
  <si>
    <t>inicio</t>
  </si>
  <si>
    <t>fin</t>
  </si>
  <si>
    <t>Fecha corte primera anualidad</t>
  </si>
  <si>
    <t>H11, E12 y H12</t>
  </si>
  <si>
    <t>D16 y G16</t>
  </si>
  <si>
    <r>
      <t xml:space="preserve">Formarán parte de los gastos subvencionables los </t>
    </r>
    <r>
      <rPr>
        <b/>
        <sz val="10"/>
        <rFont val="Arial"/>
        <family val="2"/>
      </rPr>
      <t>gastos de amortización de activos, de patentes y de modelos de utilidad</t>
    </r>
    <r>
      <rPr>
        <sz val="10"/>
        <rFont val="Arial"/>
        <family val="2"/>
      </rPr>
      <t xml:space="preserve">, en la medida y durante el periodo en que esos elementos patrimoniales se utilicen para un proyecto de I+D. También se computarán los gastos que esos elementos patrimoniales ocasionen durante la realización del proyecto en el supuesto de que se utilicen bajo las modalidades de renting, arrendamiento financiero u operativo y similares. </t>
    </r>
  </si>
  <si>
    <t>G15:G87</t>
  </si>
  <si>
    <t>H15:H87</t>
  </si>
  <si>
    <t>I15:I87</t>
  </si>
  <si>
    <t>L3</t>
  </si>
  <si>
    <t>Duracion proyecto en días</t>
  </si>
  <si>
    <t>L15:M87</t>
  </si>
  <si>
    <t xml:space="preserve">Formato condicional </t>
  </si>
  <si>
    <t>% de mujeres</t>
  </si>
  <si>
    <t>% de hombres</t>
  </si>
  <si>
    <t>% de doctores</t>
  </si>
  <si>
    <t>Horas de doctores</t>
  </si>
  <si>
    <t>Horas de mujeres</t>
  </si>
  <si>
    <t>Total de mujeres</t>
  </si>
  <si>
    <t>Total de hombres</t>
  </si>
  <si>
    <t>Total de doctores</t>
  </si>
  <si>
    <t>Horas en exclusiva I+D</t>
  </si>
  <si>
    <t>Personas en exclusiva I+D</t>
  </si>
  <si>
    <t>% de  I+D en exclusiva</t>
  </si>
  <si>
    <t>C4:C33</t>
  </si>
  <si>
    <t>D4:D33</t>
  </si>
  <si>
    <t>TOTALES DE HORAS</t>
  </si>
  <si>
    <t>TOTALES DE PERSONAS</t>
  </si>
  <si>
    <t>http://www.boe.es/boe/dias/2007/04/28/pdfs/A18572-18593.pdf</t>
  </si>
  <si>
    <t>B15</t>
  </si>
  <si>
    <t>INDIVIDUAL</t>
  </si>
  <si>
    <t>COLABORACIÓN ENTRE EMPRESAS</t>
  </si>
  <si>
    <t>TRANSFERENCIA DEL CONOCIMIENTO</t>
  </si>
  <si>
    <t>Horas de hombres</t>
  </si>
  <si>
    <t>ACCESO</t>
  </si>
  <si>
    <t>ACERA</t>
  </si>
  <si>
    <t>ALAMEDA</t>
  </si>
  <si>
    <t>ALDEA</t>
  </si>
  <si>
    <t>APARTAMENTOS</t>
  </si>
  <si>
    <t>ATAJO</t>
  </si>
  <si>
    <t>AUTOVÍA</t>
  </si>
  <si>
    <t>AVENIDA</t>
  </si>
  <si>
    <t>BAJADA</t>
  </si>
  <si>
    <t>BARRANCO</t>
  </si>
  <si>
    <t>BLOQUE</t>
  </si>
  <si>
    <t>CALLEJA</t>
  </si>
  <si>
    <t>CALLEJUELA</t>
  </si>
  <si>
    <t>CAMINO</t>
  </si>
  <si>
    <t>CARRETERA</t>
  </si>
  <si>
    <t>CERRO</t>
  </si>
  <si>
    <t>CIRCUNVALACIÓN</t>
  </si>
  <si>
    <t>CONVENTO</t>
  </si>
  <si>
    <t>COOPERATIVA</t>
  </si>
  <si>
    <t>CORREDERA</t>
  </si>
  <si>
    <t>COSTA</t>
  </si>
  <si>
    <t>COSTANILLA</t>
  </si>
  <si>
    <t>COSTERA</t>
  </si>
  <si>
    <t>CUADRA</t>
  </si>
  <si>
    <t>CUESTA</t>
  </si>
  <si>
    <t>CHALET</t>
  </si>
  <si>
    <t>DEHESA</t>
  </si>
  <si>
    <t>EDIFICIO</t>
  </si>
  <si>
    <t>EDIFICIOS</t>
  </si>
  <si>
    <t>EMPRESA</t>
  </si>
  <si>
    <t>ENTRADA</t>
  </si>
  <si>
    <t>ENTRADAS</t>
  </si>
  <si>
    <t>ESCALA</t>
  </si>
  <si>
    <t>ESCALERAS</t>
  </si>
  <si>
    <t>ESCALINATA</t>
  </si>
  <si>
    <t>ESTACIÓN</t>
  </si>
  <si>
    <t>EXPLANADA</t>
  </si>
  <si>
    <t>EXTRARRADIO</t>
  </si>
  <si>
    <t>FÁBRICA</t>
  </si>
  <si>
    <t>FINCA</t>
  </si>
  <si>
    <t>FINCAS</t>
  </si>
  <si>
    <t>GALERÍA</t>
  </si>
  <si>
    <t>GLORIETA</t>
  </si>
  <si>
    <t>GRANJA</t>
  </si>
  <si>
    <t>GRUPO</t>
  </si>
  <si>
    <t>GRUPOS</t>
  </si>
  <si>
    <t>LUGAR</t>
  </si>
  <si>
    <t>MERCADO</t>
  </si>
  <si>
    <t>MONASTERIO</t>
  </si>
  <si>
    <t>MONTE</t>
  </si>
  <si>
    <t>MUELLE</t>
  </si>
  <si>
    <t>NÚCLEO</t>
  </si>
  <si>
    <t>NUDO</t>
  </si>
  <si>
    <t>PARAJE</t>
  </si>
  <si>
    <t>PARTICULAR</t>
  </si>
  <si>
    <t>PARTIDA</t>
  </si>
  <si>
    <t>PASADIZO</t>
  </si>
  <si>
    <t>PASAJE</t>
  </si>
  <si>
    <t>PASEO</t>
  </si>
  <si>
    <t>PASILLO</t>
  </si>
  <si>
    <t>PASO</t>
  </si>
  <si>
    <t>PASO PARTICULAR</t>
  </si>
  <si>
    <t>PATIO</t>
  </si>
  <si>
    <t>PLACETA</t>
  </si>
  <si>
    <t>PLACETILLA</t>
  </si>
  <si>
    <t>PLAYA</t>
  </si>
  <si>
    <t>PLAZA</t>
  </si>
  <si>
    <t>PLAZOLETA</t>
  </si>
  <si>
    <t>PLAZUELA</t>
  </si>
  <si>
    <t>POBLADO</t>
  </si>
  <si>
    <t>POSADA</t>
  </si>
  <si>
    <t>PROLONGACIÓN</t>
  </si>
  <si>
    <t>PUEBLO</t>
  </si>
  <si>
    <t>PUERTA</t>
  </si>
  <si>
    <t>PUERTO</t>
  </si>
  <si>
    <t>RAMBLA</t>
  </si>
  <si>
    <t>RAMPA</t>
  </si>
  <si>
    <t>REPLACETA</t>
  </si>
  <si>
    <t>RINCÓN</t>
  </si>
  <si>
    <t>RONDA</t>
  </si>
  <si>
    <t>RONDIN</t>
  </si>
  <si>
    <t>ROTONDA</t>
  </si>
  <si>
    <t>SECTOR</t>
  </si>
  <si>
    <t>SENDA</t>
  </si>
  <si>
    <t>SENDERO</t>
  </si>
  <si>
    <t>SUBIDA</t>
  </si>
  <si>
    <t>TORRENTE</t>
  </si>
  <si>
    <t>TRÁNSITO</t>
  </si>
  <si>
    <t>TRASERA</t>
  </si>
  <si>
    <t>TRAVESÍA</t>
  </si>
  <si>
    <t>TÚNEL</t>
  </si>
  <si>
    <t>URBANIZACIÓN</t>
  </si>
  <si>
    <t>VEREDA</t>
  </si>
  <si>
    <t>VÍA</t>
  </si>
  <si>
    <t>VIADUCTO</t>
  </si>
  <si>
    <t>VIAL</t>
  </si>
  <si>
    <t>VILLA</t>
  </si>
  <si>
    <t>VIVIENDAS</t>
  </si>
  <si>
    <t>ZONA</t>
  </si>
  <si>
    <t>APEADERO</t>
  </si>
  <si>
    <t>CRUCE</t>
  </si>
  <si>
    <t>DISEMINADO</t>
  </si>
  <si>
    <t>E6</t>
  </si>
  <si>
    <t>Consultora/
Asesoría</t>
  </si>
  <si>
    <t>Registro Industrial - navarra.es</t>
  </si>
  <si>
    <t>B5</t>
  </si>
  <si>
    <t xml:space="preserve"> Puede ayudarse de lo siguiente: </t>
  </si>
  <si>
    <t>Guía sobre la definición de PYME</t>
  </si>
  <si>
    <t>CONVOCATORIA:</t>
  </si>
  <si>
    <t>L2</t>
  </si>
  <si>
    <t>TABLA K</t>
  </si>
  <si>
    <t>TABLA L</t>
  </si>
  <si>
    <t>TABLA M</t>
  </si>
  <si>
    <t>TABLA N</t>
  </si>
  <si>
    <t>TABLA Ñ</t>
  </si>
  <si>
    <t>Fechas límite:</t>
  </si>
  <si>
    <t>Correo-e</t>
  </si>
  <si>
    <t>(3) A los efectos de esta convocatoria, se aplicará la amortización por tablas con arreglo a los coeficientes y periodos indicados en el artículo 2 del Decreto Foral 282/1997, de 13 de octubre, por el que se aprueba el Reglamento del Impuesto sobre Sociedades:</t>
  </si>
  <si>
    <t>Número de expediente</t>
  </si>
  <si>
    <t>Resultado</t>
  </si>
  <si>
    <t>SIN DETERMINAR</t>
  </si>
  <si>
    <t>Aprobado con ayuda</t>
  </si>
  <si>
    <t>Aprobado sin ayuda</t>
  </si>
  <si>
    <t>Innovación tecnológica</t>
  </si>
  <si>
    <t>Denegado (sin calificar)</t>
  </si>
  <si>
    <t>Tamaño empresa aceptado</t>
  </si>
  <si>
    <t>Calificación</t>
  </si>
  <si>
    <t>Investigación Industrial</t>
  </si>
  <si>
    <t>Desarrollo Experimental</t>
  </si>
  <si>
    <t>No es I+D+i</t>
  </si>
  <si>
    <t>Motivo de denegación</t>
  </si>
  <si>
    <t>Renuncia</t>
  </si>
  <si>
    <t>Fecha de solicitud</t>
  </si>
  <si>
    <t>Evaluador</t>
  </si>
  <si>
    <t>Fecha de evaluación</t>
  </si>
  <si>
    <t>TituloProyecto</t>
  </si>
  <si>
    <t>PresupuestoPresentado</t>
  </si>
  <si>
    <t>FechaComienzoProyecto</t>
  </si>
  <si>
    <t>FechaFinProyecto</t>
  </si>
  <si>
    <t>DEH</t>
  </si>
  <si>
    <t>Cod_Sector</t>
  </si>
  <si>
    <t>Desc_Sector</t>
  </si>
  <si>
    <t>Cod_TecnologiaEstrategica</t>
  </si>
  <si>
    <t>Desc_TecnologiaEstrategica</t>
  </si>
  <si>
    <t>Cod_RetosS3</t>
  </si>
  <si>
    <t>Desc_RetosS3</t>
  </si>
  <si>
    <t>Cod_TipoSolicitante</t>
  </si>
  <si>
    <t>Desc_TipoSolicitante</t>
  </si>
  <si>
    <t>Cod_TamanoEmpresa</t>
  </si>
  <si>
    <t>Desc_TamanoEmpresa</t>
  </si>
  <si>
    <t>Cod_TipoProyecto</t>
  </si>
  <si>
    <t>Desc_TipoProyecto</t>
  </si>
  <si>
    <t>Cod_InscritoRegistroIndustrial</t>
  </si>
  <si>
    <t>Desc_InscritoRegistroIndustrial</t>
  </si>
  <si>
    <t>MotivoRegistroIndustrial</t>
  </si>
  <si>
    <t>Cod_OtrasAyudas</t>
  </si>
  <si>
    <t>Desc_OtrasAyudas</t>
  </si>
  <si>
    <t>FechaOtraAyuda</t>
  </si>
  <si>
    <t>OrganismoOtraAyuda</t>
  </si>
  <si>
    <t>Cod_Patentes</t>
  </si>
  <si>
    <t>Desc_Patentes</t>
  </si>
  <si>
    <t>Cod_Publicaciones</t>
  </si>
  <si>
    <t>Desc_Publicaciones</t>
  </si>
  <si>
    <t>DenegarAutorizacion</t>
  </si>
  <si>
    <t>DESDE ARCHIVO DE EXTRA</t>
  </si>
  <si>
    <t>No procede</t>
  </si>
  <si>
    <t>Código si es Col. o Transf.</t>
  </si>
  <si>
    <t>Es el coordinador</t>
  </si>
  <si>
    <t>Para cambiar archivo de referencia: Datos/Editar vínculos</t>
  </si>
  <si>
    <t xml:space="preserve">Sectores de la S3: </t>
  </si>
  <si>
    <t>Tecnologías Estratégicas:</t>
  </si>
  <si>
    <t>Retos de la S3:</t>
  </si>
  <si>
    <t>Automoción y mecatrónica</t>
  </si>
  <si>
    <t>Cadena alimentaria</t>
  </si>
  <si>
    <t>Energías renovables y recursos</t>
  </si>
  <si>
    <t>Industrias creativas y digitales</t>
  </si>
  <si>
    <t>Salud</t>
  </si>
  <si>
    <t>Turismo integral</t>
  </si>
  <si>
    <t>TIC</t>
  </si>
  <si>
    <t>Biotecnología</t>
  </si>
  <si>
    <t>Manufactura Avanzada</t>
  </si>
  <si>
    <t>Impulso del vehículo eléctrico</t>
  </si>
  <si>
    <t>Transformación 4.0 de la industria navarra</t>
  </si>
  <si>
    <t>Vertebrar la cadena de valor alimentaria</t>
  </si>
  <si>
    <t>Apuesta por la alimentación saludable</t>
  </si>
  <si>
    <t>Disminución del consumo de energías fósiles</t>
  </si>
  <si>
    <t>Fortalecimiento del sector eólico</t>
  </si>
  <si>
    <t>Promover la Economía Circular</t>
  </si>
  <si>
    <t>Aumento de la eficiencia de los Servicios Sanitarios (e-Health)</t>
  </si>
  <si>
    <t>Desarrollo de la medicina personalizada</t>
  </si>
  <si>
    <t>Nuevos nichos de oferta turística integral</t>
  </si>
  <si>
    <t>EXCEL Y VALORACIÓN</t>
  </si>
  <si>
    <t>VARIOS</t>
  </si>
  <si>
    <t>Tipo</t>
  </si>
  <si>
    <t>Alcance tecnológico del proyecto. DIFICULTAD TÉCNICA</t>
  </si>
  <si>
    <t>Máximo</t>
  </si>
  <si>
    <t>Riesgo tecnológico de lograr los objetivos propuestos, dificultad técnica.</t>
  </si>
  <si>
    <t xml:space="preserve">Deficiencia de las soluciones actuales y valoración tecnológica de la solución propuesta frente a otras posibles. </t>
  </si>
  <si>
    <t>Problema a resolver y oportunidad en el mercado.</t>
  </si>
  <si>
    <t xml:space="preserve">Grado de novedad del proyecto </t>
  </si>
  <si>
    <t>Novedad a nivel internacional, nacional o regional y su grado de relevancia</t>
  </si>
  <si>
    <t>Descripción de todos los gastos imputados. Necesidad, estimación, tareas, cantidades</t>
  </si>
  <si>
    <t>Justificación del presupuesto</t>
  </si>
  <si>
    <t>Calidad de la memoria presentada</t>
  </si>
  <si>
    <t>Calidad general de la memoria; claridad, descripción de los objetivos y metodología (acciones planificadas para conseguirlos)</t>
  </si>
  <si>
    <t>Definición de las tareas, cronograma de ejecución, asignación de recursos</t>
  </si>
  <si>
    <t>Doctores en el equipo investigador</t>
  </si>
  <si>
    <t>Participación de mujeres en el equipo investigador</t>
  </si>
  <si>
    <t>Encuadramiento en los sectores estratégicos de Navarra</t>
  </si>
  <si>
    <t>Encuadramiento RIS 3</t>
  </si>
  <si>
    <t>Patentes y publicaciones</t>
  </si>
  <si>
    <t>Proyectos en colaboración S3 - Tecnología estratégica: TIC, Biotecnología o Manufactura avanzada</t>
  </si>
  <si>
    <t>Puntuación 1</t>
  </si>
  <si>
    <t>Puntuación 2</t>
  </si>
  <si>
    <t>Media</t>
  </si>
  <si>
    <t>a)</t>
  </si>
  <si>
    <t>a1</t>
  </si>
  <si>
    <t>a2</t>
  </si>
  <si>
    <t>a3</t>
  </si>
  <si>
    <t>b)</t>
  </si>
  <si>
    <t>c)</t>
  </si>
  <si>
    <t>d)</t>
  </si>
  <si>
    <t>d1</t>
  </si>
  <si>
    <t>d2</t>
  </si>
  <si>
    <t>e)</t>
  </si>
  <si>
    <t>c</t>
  </si>
  <si>
    <t>b</t>
  </si>
  <si>
    <t>d</t>
  </si>
  <si>
    <t>f)</t>
  </si>
  <si>
    <t>f</t>
  </si>
  <si>
    <t>g)</t>
  </si>
  <si>
    <t>g</t>
  </si>
  <si>
    <t>h)</t>
  </si>
  <si>
    <t>h</t>
  </si>
  <si>
    <t>i)</t>
  </si>
  <si>
    <t>i</t>
  </si>
  <si>
    <t>Criterios de valoración</t>
  </si>
  <si>
    <t>COMENTARIOS DE LA VALORACION</t>
  </si>
  <si>
    <t>JUSTIFICACION DE LA CALIFICACION</t>
  </si>
  <si>
    <t>Mínimo</t>
  </si>
  <si>
    <t>Evaluador 1</t>
  </si>
  <si>
    <t>Evaluador 2</t>
  </si>
  <si>
    <t>Patentes</t>
  </si>
  <si>
    <t>No, no tenemos intención de patentar</t>
  </si>
  <si>
    <t>Sí, La patente prevista es europea</t>
  </si>
  <si>
    <t>Sí, La patente prevista es nacional</t>
  </si>
  <si>
    <t>Publicaciones</t>
  </si>
  <si>
    <t>No, no tenemos prevista publicación</t>
  </si>
  <si>
    <t>VALORACIÓN DE ACTIVOS</t>
  </si>
  <si>
    <t>VALORACIÓN DE PERSONAL</t>
  </si>
  <si>
    <t>VALORACIÓN DE MATERIALES</t>
  </si>
  <si>
    <t>VALORACIÓN DE COLABORACIONES</t>
  </si>
  <si>
    <t>Introducir valor aceptado</t>
  </si>
  <si>
    <t>VALORACIÓN DE OTROS COSTES</t>
  </si>
  <si>
    <t>Formulario con datos del proyecto y de la empresa</t>
  </si>
  <si>
    <t>Acuerdo de colaboración (SUBSANABLE)</t>
  </si>
  <si>
    <t>ÉSTE</t>
  </si>
  <si>
    <t>CONJUNTA</t>
  </si>
  <si>
    <t>PUNTOS</t>
  </si>
  <si>
    <t>CALIFICACIÓN:</t>
  </si>
  <si>
    <t>puntos en conjunto para colaboración o transferencia</t>
  </si>
  <si>
    <t>CALIFICACIÓN DEL PROYECTO TRAS LA VALORACIÓN:</t>
  </si>
  <si>
    <t>CUMPLE TODOS LOS  REQUISITOS:</t>
  </si>
  <si>
    <t>CUMPLE Acuerdo colaboración</t>
  </si>
  <si>
    <t>CUMPLE  % Transferencia</t>
  </si>
  <si>
    <t xml:space="preserve">CUMPLE REVISIÓN ADMINISTRATIVA </t>
  </si>
  <si>
    <t>Socio A</t>
  </si>
  <si>
    <t>Socio B</t>
  </si>
  <si>
    <t>Socio C</t>
  </si>
  <si>
    <t>Socio D</t>
  </si>
  <si>
    <t>Socio E</t>
  </si>
  <si>
    <t>Referenciar los socios desde  Datos/Editar vínculos</t>
  </si>
  <si>
    <t>Resaltar las casillas modificadas en amarillo</t>
  </si>
  <si>
    <t>Para salto de línea dentro de la misma celda Alt+Intro. No usar el punto y coma.</t>
  </si>
  <si>
    <t>JUSTIFICACIÓN DE LAS REDUCCIONES</t>
  </si>
  <si>
    <t>% ACEPTADO</t>
  </si>
  <si>
    <t>Solicitado</t>
  </si>
  <si>
    <t>Aceptado</t>
  </si>
  <si>
    <t>EJC del Expte. Completo</t>
  </si>
  <si>
    <t>Solicitadas</t>
  </si>
  <si>
    <t>Anualidad 1 (€)</t>
  </si>
  <si>
    <t>Anualidad 2 (€)</t>
  </si>
  <si>
    <t>A la derecha se puede establecer el % de aceptación de coste en colaboraciones</t>
  </si>
  <si>
    <t>A la derecha se puede establecer el % de aceptación de coste de material</t>
  </si>
  <si>
    <t>A la derecha se puede establecer el % de aceptación de horas, que minora  consecuentemente también los totales</t>
  </si>
  <si>
    <t>alto</t>
  </si>
  <si>
    <t>medio</t>
  </si>
  <si>
    <t>bajo</t>
  </si>
  <si>
    <t>regional</t>
  </si>
  <si>
    <t>nacional</t>
  </si>
  <si>
    <t>internacional</t>
  </si>
  <si>
    <t>ámbito</t>
  </si>
  <si>
    <t>relevancia
alcance</t>
  </si>
  <si>
    <t>Apartado b)
Novedad</t>
  </si>
  <si>
    <t>Ninguno</t>
  </si>
  <si>
    <t>Sí, publicación en revista científica</t>
  </si>
  <si>
    <t>Sí, publicación en revista científica q1</t>
  </si>
  <si>
    <t>Aceptado PROYECTO</t>
  </si>
  <si>
    <t>TOTALES DE HORAS H + M</t>
  </si>
  <si>
    <t>Si hay nuevas contrataciones y no se conoce la persona. No se atribuye sexo, la suma de horas de  H + M será inferior al total de horas</t>
  </si>
  <si>
    <t>Calculo de puntuación por participación de mujeres</t>
  </si>
  <si>
    <t>H. Mujeres</t>
  </si>
  <si>
    <t>H. H + M</t>
  </si>
  <si>
    <t>Calculo de puntuación por Doctores</t>
  </si>
  <si>
    <t>Num Doc.</t>
  </si>
  <si>
    <t>Sector de la empresa</t>
  </si>
  <si>
    <t>Tecnología de la empresa</t>
  </si>
  <si>
    <t>Sector Emp</t>
  </si>
  <si>
    <t>Tecnolog. E.</t>
  </si>
  <si>
    <t>CUMPLE efecto incentivador (Art. 5)</t>
  </si>
  <si>
    <t>Tipo de proyecto (Comprobar art. 2)</t>
  </si>
  <si>
    <t>Memoria explicativa del proyecto</t>
  </si>
  <si>
    <t>Declaración responsable correcta</t>
  </si>
  <si>
    <t>PRESUPUESTO TOTAL ANTES DE RESTRICCIONES</t>
  </si>
  <si>
    <t>% Reductor</t>
  </si>
  <si>
    <t>Limite de 500.000 euros por proyecto</t>
  </si>
  <si>
    <t>Pres. Final</t>
  </si>
  <si>
    <t>RESTRICCIÓN DE 500.000 € POR PROYECTO</t>
  </si>
  <si>
    <t>Presupuesto proyecto</t>
  </si>
  <si>
    <t>TAMAÑO</t>
  </si>
  <si>
    <t>TIPO</t>
  </si>
  <si>
    <t>CALIFICACIÓN</t>
  </si>
  <si>
    <t>Intensidad máxima para empresas</t>
  </si>
  <si>
    <t>INTENSIDAD DE AYUDA:</t>
  </si>
  <si>
    <t>INTENSIDAD MÁXIMA:</t>
  </si>
  <si>
    <t xml:space="preserve">IMPORTE SUBVENCIÓN </t>
  </si>
  <si>
    <t>IMPORTE SUBVENCIÓN LIMITADA</t>
  </si>
  <si>
    <t>IMPORTE SUBVENCIÓN Calculada</t>
  </si>
  <si>
    <t>MÁXIMO 200.000 € / Expediente</t>
  </si>
  <si>
    <t>2022-1</t>
  </si>
  <si>
    <t>2022-2</t>
  </si>
  <si>
    <t>Contabilidad separada en OI</t>
  </si>
  <si>
    <t>Cuentas 3 últimos ejercicios.PYME (SUBSANABLE)</t>
  </si>
  <si>
    <t>Cumple si subcontratación &gt;20% y &lt;60,000€</t>
  </si>
  <si>
    <t>Formulario con horas dedicadas a otros proyectos (Subs)</t>
  </si>
  <si>
    <t>TRL de partida</t>
  </si>
  <si>
    <t>TRL final</t>
  </si>
  <si>
    <t>TRL</t>
  </si>
  <si>
    <t>TRL 1</t>
  </si>
  <si>
    <t>TRL 2</t>
  </si>
  <si>
    <t>TRL 3</t>
  </si>
  <si>
    <t>TRL 4</t>
  </si>
  <si>
    <t>TRL 5</t>
  </si>
  <si>
    <t>TRL 6</t>
  </si>
  <si>
    <t>TRL 7</t>
  </si>
  <si>
    <t>TRL 8</t>
  </si>
  <si>
    <t>TRL 9</t>
  </si>
  <si>
    <t>OBSERVACIONES INTERNAS</t>
  </si>
  <si>
    <t>Aproximado</t>
  </si>
  <si>
    <t>AYUDA</t>
  </si>
  <si>
    <t>VALORACIÓN DEL PROYECTO</t>
  </si>
  <si>
    <t>Calculo de puntuación por Proy. en colaboración S3 - Tec.est.: TIC, Biotec. o Manuf. Av.</t>
  </si>
  <si>
    <t>NumeroExpediente</t>
  </si>
  <si>
    <t>Valoracion:TipoProyecto</t>
  </si>
  <si>
    <t>Valoracion:CalificacionProyecto</t>
  </si>
  <si>
    <t>Valoracion:CorrienteSS</t>
  </si>
  <si>
    <t>Valoracion:CorrienteHacienda</t>
  </si>
  <si>
    <t>Valoracion:ConcursoAcreedores</t>
  </si>
  <si>
    <t>Valoracion:CumpleEfectoIncentivador</t>
  </si>
  <si>
    <t>Valoracion:TransparenciaPlazo</t>
  </si>
  <si>
    <t>Valoracion:ObligacionTransparencia</t>
  </si>
  <si>
    <t>Valoracion:BaseIncumple</t>
  </si>
  <si>
    <t>Valoracion:MotivoRechazo</t>
  </si>
  <si>
    <t>Valoracion:PresupuestoAceptado</t>
  </si>
  <si>
    <t>Valoracion:IntensidadAyuda</t>
  </si>
  <si>
    <t>Valoracion:AyudaConcedida</t>
  </si>
  <si>
    <t>Valoracion:ProvisionAno1</t>
  </si>
  <si>
    <t>Valoracion:ProvisionAno2</t>
  </si>
  <si>
    <t>Valoracion:ProvisionAno3</t>
  </si>
  <si>
    <t>Valoracion:EquiposAnualidad1</t>
  </si>
  <si>
    <t>Valoracion:EquiposAnualidad2</t>
  </si>
  <si>
    <t>Valoracion:EquiposTotal</t>
  </si>
  <si>
    <t>Valoracion:ManoObraAnualidad1</t>
  </si>
  <si>
    <t>Valoracion:ManoObraAnualidad2</t>
  </si>
  <si>
    <t>Valoracion:ManoObraTotal</t>
  </si>
  <si>
    <t>Valoracion:MaterialesAnualidad1</t>
  </si>
  <si>
    <t>Valoracion:MaterialesAnualidad2</t>
  </si>
  <si>
    <t>Valoracion:MaterialesTotal</t>
  </si>
  <si>
    <t>Valoracion:ColaboracionExternaAnualidad1</t>
  </si>
  <si>
    <t>Valoracion:ColaboracionExternaAnualidad2</t>
  </si>
  <si>
    <t>Valoracion:ColaboracionExternaTotal</t>
  </si>
  <si>
    <t>Valoracion:OtrosGastosAnualidad1</t>
  </si>
  <si>
    <t>Valoracion:OtrosGastosAnualidad2</t>
  </si>
  <si>
    <t>Valoracion:OtrosGastosTotal</t>
  </si>
  <si>
    <t>Valoracion:CostesIndirectosAnualidad1</t>
  </si>
  <si>
    <t>Valoracion:CostesIndirectosAnualidad2</t>
  </si>
  <si>
    <t>Valoracion:CostesIndirectosTotal</t>
  </si>
  <si>
    <t>Valoracion:TotalAnualidad1</t>
  </si>
  <si>
    <t>Valoracion:TotalAnualidad2</t>
  </si>
  <si>
    <t>Valoracion:PresupuestoTotal</t>
  </si>
  <si>
    <t>Valoracion:AyudaAnualidad1</t>
  </si>
  <si>
    <t>Valoracion:AyudaAnualidad2</t>
  </si>
  <si>
    <t>Valoracion:AyudaTotal</t>
  </si>
  <si>
    <t>Valoracion:GastosPatentes</t>
  </si>
  <si>
    <t>Valoracion:GastosViajes</t>
  </si>
  <si>
    <t>Valoracion:CostesAuditorias</t>
  </si>
  <si>
    <t>Valoracion:CostesIndirectos</t>
  </si>
  <si>
    <t>Valoracion:Tamano</t>
  </si>
  <si>
    <t>Valoracion:Compatibilidad</t>
  </si>
  <si>
    <t>Valoracion:Organismo</t>
  </si>
  <si>
    <t>Valoracion:FechaCDTI</t>
  </si>
  <si>
    <t>Valoracion:PorcentajeColaboracion</t>
  </si>
  <si>
    <t>Valoracion:PuntuacionA</t>
  </si>
  <si>
    <t>Valoracion:PuntuacionB</t>
  </si>
  <si>
    <t>Valoracion:PuntuacionC</t>
  </si>
  <si>
    <t>Valoracion:PuntuacionD</t>
  </si>
  <si>
    <t>Valoracion:PuntuacionE</t>
  </si>
  <si>
    <t>Valoracion:PuntuacionF</t>
  </si>
  <si>
    <t>Valoracion:PuntuacionG</t>
  </si>
  <si>
    <t>Valoracion:PuntuacionH</t>
  </si>
  <si>
    <t>Valoracion:PuntuacionI</t>
  </si>
  <si>
    <t>Valoracion:PuntuacionTotal</t>
  </si>
  <si>
    <t>Valoracion:Evaluacion</t>
  </si>
  <si>
    <t>Valoracion:CalificacionIDI</t>
  </si>
  <si>
    <t>Valoracion:TRLPartida</t>
  </si>
  <si>
    <t>Valoracion:TRLObjetivo</t>
  </si>
  <si>
    <t>Valoracion:DEH</t>
  </si>
  <si>
    <t>Valoracion:RegistroIndustrial</t>
  </si>
  <si>
    <t>Valoracion:FechaSS</t>
  </si>
  <si>
    <t>Valoracion:FechaHacienda</t>
  </si>
  <si>
    <t>Valoracion:FechaAcreedores</t>
  </si>
  <si>
    <t>Valoracion:FechaEfectoIncentivador</t>
  </si>
  <si>
    <t>Valoracion:ComentariosComprobaciones</t>
  </si>
  <si>
    <t>Valoracion:FechaTransparencia</t>
  </si>
  <si>
    <t>Valoracion:Aprobacion</t>
  </si>
  <si>
    <t>Artículo 2</t>
  </si>
  <si>
    <t>El proyecto no cumple con la definición de "Investigación Industrial" ni de "Desarrollo Experimental" según se definen en el artículo 85) y 86) del artículo 2 del Reglamento (UE) número 651/2014, de la Comisión, de 17 de junio de 2014.</t>
  </si>
  <si>
    <t>Artículo 2.3</t>
  </si>
  <si>
    <t>Artículo 3</t>
  </si>
  <si>
    <t>Artículo 5</t>
  </si>
  <si>
    <t>Artículo 8.1</t>
  </si>
  <si>
    <t>Artículo 8.2</t>
  </si>
  <si>
    <t>Artículo 8.3</t>
  </si>
  <si>
    <t>Artículo 10.2</t>
  </si>
  <si>
    <t>Artículo 20</t>
  </si>
  <si>
    <t>El proyecto no cumple las condiciones exigidas para ser considerado de "Transferencia del Conocimiento"</t>
  </si>
  <si>
    <t>No cumple las condiciones para ser beneficiaria de las ayudas</t>
  </si>
  <si>
    <t>No cumple el efecto incentivador, la fecha de inicio del proyecto es anterior a la fecha de presentación de la solicitud.</t>
  </si>
  <si>
    <t>Proyecto presentado fuera de plazo. Solicitud denegada por extemporánea.</t>
  </si>
  <si>
    <t>Proyecto no presentado telemáticamente</t>
  </si>
  <si>
    <t>No se ha presentado la documentación exigida. Falta la memoria descriptiva del proyecto.</t>
  </si>
  <si>
    <t>No se ha presentado la documentación exigida. Falta el formulario con datos del proyecto.</t>
  </si>
  <si>
    <t>No se ha presentado la documentación exigida. Falta la declaración responsable.</t>
  </si>
  <si>
    <t>El proyecto no ha obtenido la puntuación mínima en alguno de los apartados a), b), c) o d) del artículo 10,1</t>
  </si>
  <si>
    <t>El proyecto no puede recibir subvención o financiación por un importe superior al coste de la actividad a desarrollar</t>
  </si>
  <si>
    <t>GastosPatentes</t>
  </si>
  <si>
    <t>GastosViajes</t>
  </si>
  <si>
    <t>CostesAuditorias</t>
  </si>
  <si>
    <t>Otras ayudas solicitadas</t>
  </si>
  <si>
    <t>JUSTIFICACION DE LA CALIFICACION. Es el texto que expresa el motivo de la calificación en el futuro informe que se manda a la empresa.</t>
  </si>
  <si>
    <t>COMENTARIOS DE LA VALORACION. Se exporta también a Extra, pero no se incluye en el informe</t>
  </si>
  <si>
    <t>Fecha de concesión y % concedido</t>
  </si>
  <si>
    <t>0011-1365-2021-000</t>
  </si>
  <si>
    <t>Comentarios evaluador 1</t>
  </si>
  <si>
    <t>Comentarios evaluador 2</t>
  </si>
  <si>
    <t>Otros</t>
  </si>
  <si>
    <t>REVISAR LA PESTAÑA INGRESOS DEL PROYECTO POR SI PROCEDE REVISAR EL PRESUPUESTO</t>
  </si>
  <si>
    <t>FIN DE LA VALORACIÓN</t>
  </si>
  <si>
    <t>Versión:</t>
  </si>
  <si>
    <t>v1</t>
  </si>
  <si>
    <t>Universidad Publica de Navarra</t>
  </si>
  <si>
    <t>UPNA</t>
  </si>
  <si>
    <t>Campus Arrosadia s/n</t>
  </si>
  <si>
    <t>Pamplona</t>
  </si>
  <si>
    <t>www.unavarra.es</t>
  </si>
  <si>
    <t>Enseñanza Superior e Investigación</t>
  </si>
  <si>
    <t>Francisco J.</t>
  </si>
  <si>
    <t>Vicerrector de Investigación</t>
  </si>
  <si>
    <t>vicerrectorado.investigacion@unavarra.es</t>
  </si>
  <si>
    <t>San Martin</t>
  </si>
  <si>
    <t xml:space="preserve">Arregui </t>
  </si>
  <si>
    <t>Informe de 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</si>
</sst>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164" formatCode="00000"/>
    <numFmt numFmtId="165" formatCode="#,##0.0"/>
    <numFmt numFmtId="166" formatCode="#,##0.00\ &quot;€&quot;"/>
    <numFmt numFmtId="167" formatCode="000\-000\-000"/>
    <numFmt numFmtId="168" formatCode="0000"/>
  </numFmts>
  <fonts count="68" x14ac:knownFonts="1">
    <font>
      <sz val="10"/>
      <name val="Arial"/>
    </font>
    <font>
      <sz val="10"/>
      <name val="Arial"/>
    </font>
    <font>
      <sz val="8"/>
      <name val="Arial"/>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9"/>
      <name val="Arial"/>
    </font>
    <font>
      <b/>
      <sz val="12"/>
      <name val="Arial"/>
      <family val="2"/>
    </font>
    <font>
      <sz val="11"/>
      <name val="Arial Narrow"/>
      <family val="2"/>
    </font>
    <font>
      <b/>
      <sz val="11"/>
      <name val="Arial Narrow"/>
      <family val="2"/>
    </font>
    <font>
      <sz val="11"/>
      <name val="Arial"/>
    </font>
    <font>
      <sz val="11"/>
      <name val="Arial"/>
      <family val="2"/>
    </font>
    <font>
      <b/>
      <sz val="11"/>
      <name val="Arial"/>
      <family val="2"/>
    </font>
    <font>
      <sz val="10"/>
      <name val="Arial Narrow"/>
      <family val="2"/>
    </font>
    <font>
      <b/>
      <sz val="10"/>
      <name val="Arial Narrow"/>
      <family val="2"/>
    </font>
    <font>
      <sz val="6"/>
      <name val="Arial Narrow"/>
      <family val="2"/>
    </font>
    <font>
      <sz val="10"/>
      <name val="Times New Roman"/>
      <family val="1"/>
    </font>
    <font>
      <b/>
      <u/>
      <sz val="10"/>
      <name val="Arial Narrow"/>
      <family val="2"/>
    </font>
    <font>
      <b/>
      <sz val="10"/>
      <color indexed="10"/>
      <name val="Arial Narrow"/>
      <family val="2"/>
    </font>
    <font>
      <sz val="10"/>
      <color indexed="10"/>
      <name val="Arial Narrow"/>
      <family val="2"/>
    </font>
    <font>
      <sz val="8"/>
      <name val="Arial Narrow"/>
      <family val="2"/>
    </font>
    <font>
      <sz val="10"/>
      <name val="Arial"/>
      <family val="2"/>
    </font>
    <font>
      <sz val="10"/>
      <color indexed="10"/>
      <name val="Arial"/>
      <family val="2"/>
    </font>
    <font>
      <sz val="10"/>
      <color indexed="10"/>
      <name val="Arial"/>
    </font>
    <font>
      <i/>
      <sz val="10"/>
      <name val="Arial Narrow"/>
      <family val="2"/>
    </font>
    <font>
      <b/>
      <sz val="11"/>
      <color indexed="12"/>
      <name val="Arial Narrow"/>
      <family val="2"/>
    </font>
    <font>
      <b/>
      <sz val="10"/>
      <color indexed="12"/>
      <name val="Arial"/>
      <family val="2"/>
    </font>
    <font>
      <b/>
      <sz val="10"/>
      <name val="Arial"/>
      <family val="2"/>
    </font>
    <font>
      <b/>
      <sz val="9"/>
      <name val="Arial"/>
      <family val="2"/>
    </font>
    <font>
      <b/>
      <sz val="9"/>
      <name val="Arial"/>
    </font>
    <font>
      <b/>
      <sz val="9"/>
      <name val="Arial Narrow"/>
      <family val="2"/>
    </font>
    <font>
      <b/>
      <sz val="10"/>
      <name val="Arial"/>
    </font>
    <font>
      <i/>
      <sz val="10"/>
      <name val="Arial"/>
      <family val="2"/>
    </font>
    <font>
      <sz val="9"/>
      <color indexed="10"/>
      <name val="Arial"/>
      <family val="2"/>
    </font>
    <font>
      <b/>
      <sz val="8"/>
      <name val="Arial Narrow"/>
      <family val="2"/>
    </font>
    <font>
      <sz val="9"/>
      <name val="Arial Narrow"/>
      <family val="2"/>
    </font>
    <font>
      <b/>
      <sz val="11"/>
      <color indexed="9"/>
      <name val="Arial Narrow"/>
      <family val="2"/>
    </font>
    <font>
      <b/>
      <sz val="12"/>
      <name val="Arial Narrow"/>
      <family val="2"/>
    </font>
    <font>
      <b/>
      <sz val="10"/>
      <color indexed="10"/>
      <name val="Arial"/>
      <family val="2"/>
    </font>
    <font>
      <i/>
      <sz val="10"/>
      <color indexed="10"/>
      <name val="Arial"/>
      <family val="2"/>
    </font>
    <font>
      <sz val="12"/>
      <name val="Times New Roman"/>
      <family val="1"/>
    </font>
    <font>
      <sz val="9"/>
      <name val="Arial"/>
      <family val="2"/>
    </font>
    <font>
      <sz val="9"/>
      <color indexed="81"/>
      <name val="Tahoma"/>
      <family val="2"/>
    </font>
    <font>
      <b/>
      <sz val="9"/>
      <color indexed="81"/>
      <name val="Tahoma"/>
      <charset val="1"/>
    </font>
    <font>
      <sz val="10"/>
      <name val="Arial"/>
    </font>
    <font>
      <b/>
      <sz val="9"/>
      <color indexed="81"/>
      <name val="Tahoma"/>
      <family val="2"/>
    </font>
    <font>
      <b/>
      <sz val="10"/>
      <color rgb="FF0070C0"/>
      <name val="Arial"/>
      <family val="2"/>
    </font>
    <font>
      <b/>
      <sz val="10"/>
      <color rgb="FFFF0000"/>
      <name val="Arial"/>
      <family val="2"/>
    </font>
    <font>
      <sz val="10"/>
      <color theme="0"/>
      <name val="Arial"/>
      <family val="2"/>
    </font>
    <font>
      <b/>
      <sz val="10"/>
      <color theme="0"/>
      <name val="Arial"/>
      <family val="2"/>
    </font>
    <font>
      <sz val="10"/>
      <color rgb="FFFF0000"/>
      <name val="Arial"/>
      <family val="2"/>
    </font>
    <font>
      <b/>
      <sz val="9"/>
      <color rgb="FFFF0000"/>
      <name val="Arial"/>
      <family val="2"/>
    </font>
    <font>
      <sz val="10"/>
      <color rgb="FF00000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s>
  <borders count="1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ck">
        <color indexed="64"/>
      </right>
      <top/>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ck">
        <color indexed="64"/>
      </left>
      <right/>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top/>
      <bottom style="thick">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1" fillId="23" borderId="4" applyNumberFormat="0" applyFont="0" applyAlignment="0" applyProtection="0"/>
    <xf numFmtId="9" fontId="1" fillId="0" borderId="0" applyFont="0" applyFill="0" applyBorder="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9" fillId="0" borderId="8" applyNumberFormat="0" applyFill="0" applyAlignment="0" applyProtection="0"/>
    <xf numFmtId="0" fontId="20" fillId="0" borderId="9" applyNumberFormat="0" applyFill="0" applyAlignment="0" applyProtection="0"/>
  </cellStyleXfs>
  <cellXfs count="1385">
    <xf numFmtId="0" fontId="0" fillId="0" borderId="0" xfId="0"/>
    <xf numFmtId="0" fontId="21" fillId="0" borderId="0" xfId="0" applyFont="1" applyAlignment="1" applyProtection="1">
      <alignment vertical="center"/>
    </xf>
    <xf numFmtId="0" fontId="21" fillId="0" borderId="10" xfId="0" applyFont="1" applyBorder="1" applyAlignment="1" applyProtection="1">
      <alignment vertical="center"/>
    </xf>
    <xf numFmtId="0" fontId="21" fillId="0" borderId="11" xfId="0" applyFont="1" applyBorder="1" applyAlignment="1" applyProtection="1">
      <alignment vertical="center"/>
    </xf>
    <xf numFmtId="0" fontId="0" fillId="0" borderId="0" xfId="0" applyBorder="1" applyAlignment="1" applyProtection="1">
      <alignment horizontal="justify" vertical="top" wrapText="1"/>
    </xf>
    <xf numFmtId="14" fontId="23" fillId="0" borderId="12" xfId="0" applyNumberFormat="1" applyFont="1" applyFill="1" applyBorder="1" applyAlignment="1" applyProtection="1">
      <alignment horizontal="center" vertical="center" wrapText="1"/>
      <protection locked="0"/>
    </xf>
    <xf numFmtId="14" fontId="26" fillId="24" borderId="13" xfId="0" applyNumberFormat="1" applyFont="1" applyFill="1" applyBorder="1" applyAlignment="1" applyProtection="1">
      <alignment horizontal="center" vertical="center" wrapText="1"/>
    </xf>
    <xf numFmtId="14" fontId="23" fillId="0" borderId="14" xfId="0" applyNumberFormat="1" applyFont="1" applyFill="1" applyBorder="1" applyAlignment="1" applyProtection="1">
      <alignment horizontal="center" vertical="center" wrapText="1"/>
      <protection locked="0"/>
    </xf>
    <xf numFmtId="14" fontId="26" fillId="24" borderId="15" xfId="0" applyNumberFormat="1" applyFont="1" applyFill="1" applyBorder="1" applyAlignment="1" applyProtection="1">
      <alignment horizontal="center" vertical="center" wrapText="1"/>
    </xf>
    <xf numFmtId="0" fontId="23" fillId="0" borderId="0" xfId="0" applyFont="1" applyAlignment="1" applyProtection="1">
      <alignment vertical="center"/>
    </xf>
    <xf numFmtId="0" fontId="0" fillId="0" borderId="0" xfId="0" applyAlignment="1" applyProtection="1">
      <alignment vertical="center"/>
    </xf>
    <xf numFmtId="0" fontId="28" fillId="0" borderId="16" xfId="0" applyFont="1" applyBorder="1" applyAlignment="1" applyProtection="1">
      <alignment horizontal="left" vertical="top" wrapText="1"/>
    </xf>
    <xf numFmtId="0" fontId="23" fillId="0" borderId="0" xfId="0" applyFont="1" applyBorder="1" applyAlignment="1" applyProtection="1">
      <alignment vertical="center" wrapText="1"/>
    </xf>
    <xf numFmtId="0" fontId="0" fillId="0" borderId="0" xfId="0" applyBorder="1" applyAlignment="1" applyProtection="1">
      <alignment vertical="center"/>
    </xf>
    <xf numFmtId="0" fontId="23" fillId="0" borderId="16" xfId="0" applyFont="1" applyBorder="1" applyAlignment="1" applyProtection="1">
      <alignment vertical="center" wrapText="1"/>
    </xf>
    <xf numFmtId="0" fontId="21" fillId="0" borderId="11" xfId="0" applyFont="1" applyBorder="1" applyAlignment="1" applyProtection="1">
      <alignment horizontal="center" vertical="center"/>
    </xf>
    <xf numFmtId="0" fontId="21" fillId="0" borderId="17" xfId="0" applyFont="1" applyBorder="1" applyAlignment="1" applyProtection="1">
      <alignment vertical="center"/>
    </xf>
    <xf numFmtId="0" fontId="1" fillId="0" borderId="0" xfId="0" applyFont="1" applyProtection="1"/>
    <xf numFmtId="1" fontId="28" fillId="0" borderId="18" xfId="0" applyNumberFormat="1"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165" fontId="28" fillId="0" borderId="0" xfId="0" applyNumberFormat="1" applyFont="1" applyBorder="1" applyAlignment="1" applyProtection="1">
      <alignment horizontal="left" vertical="center" wrapText="1"/>
    </xf>
    <xf numFmtId="0" fontId="28" fillId="0" borderId="0" xfId="0" applyFont="1" applyBorder="1" applyAlignment="1" applyProtection="1">
      <alignment vertical="center" wrapText="1"/>
    </xf>
    <xf numFmtId="165" fontId="28" fillId="0" borderId="16" xfId="0" applyNumberFormat="1" applyFont="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16" xfId="0" applyFont="1" applyBorder="1" applyAlignment="1" applyProtection="1">
      <alignment vertical="center" wrapText="1"/>
    </xf>
    <xf numFmtId="0" fontId="35" fillId="0" borderId="0" xfId="0" applyFont="1" applyProtection="1"/>
    <xf numFmtId="0" fontId="36" fillId="0" borderId="0" xfId="0" applyFont="1" applyBorder="1" applyAlignment="1" applyProtection="1">
      <alignment vertical="top" wrapText="1"/>
    </xf>
    <xf numFmtId="165" fontId="36" fillId="0" borderId="0" xfId="0" applyNumberFormat="1" applyFont="1" applyBorder="1" applyAlignment="1" applyProtection="1">
      <alignment vertical="top" wrapText="1"/>
    </xf>
    <xf numFmtId="49" fontId="37" fillId="0" borderId="0" xfId="0" applyNumberFormat="1" applyFont="1" applyBorder="1" applyAlignment="1" applyProtection="1">
      <alignment horizontal="center" vertical="top" wrapText="1"/>
    </xf>
    <xf numFmtId="49" fontId="36" fillId="0" borderId="0" xfId="0" applyNumberFormat="1" applyFont="1" applyBorder="1" applyAlignment="1" applyProtection="1">
      <alignment horizontal="center" vertical="top" wrapText="1"/>
    </xf>
    <xf numFmtId="49" fontId="38" fillId="0" borderId="0" xfId="0" applyNumberFormat="1" applyFont="1" applyAlignment="1" applyProtection="1">
      <alignment horizontal="center"/>
    </xf>
    <xf numFmtId="10" fontId="23" fillId="0" borderId="20" xfId="36" applyNumberFormat="1" applyFont="1" applyBorder="1" applyAlignment="1" applyProtection="1">
      <alignment vertical="top" wrapText="1"/>
      <protection locked="0"/>
    </xf>
    <xf numFmtId="10" fontId="23" fillId="24" borderId="21" xfId="36" applyNumberFormat="1" applyFont="1" applyFill="1" applyBorder="1" applyAlignment="1" applyProtection="1">
      <alignment vertical="top" wrapText="1"/>
    </xf>
    <xf numFmtId="0" fontId="0" fillId="0" borderId="0" xfId="0" applyBorder="1"/>
    <xf numFmtId="10" fontId="23" fillId="0" borderId="20" xfId="0" applyNumberFormat="1" applyFont="1" applyBorder="1" applyAlignment="1" applyProtection="1">
      <alignment vertical="top" wrapText="1"/>
      <protection locked="0"/>
    </xf>
    <xf numFmtId="10" fontId="23" fillId="0" borderId="21" xfId="0" applyNumberFormat="1" applyFont="1" applyBorder="1" applyAlignment="1" applyProtection="1">
      <alignment vertical="top" wrapText="1"/>
      <protection locked="0"/>
    </xf>
    <xf numFmtId="10" fontId="23" fillId="0" borderId="18" xfId="0" applyNumberFormat="1" applyFont="1" applyBorder="1" applyAlignment="1" applyProtection="1">
      <alignment vertical="center" wrapText="1"/>
      <protection locked="0"/>
    </xf>
    <xf numFmtId="0" fontId="1" fillId="0" borderId="18" xfId="0" applyFont="1" applyBorder="1" applyAlignment="1" applyProtection="1">
      <alignment horizontal="left" vertical="center" wrapText="1"/>
      <protection locked="0"/>
    </xf>
    <xf numFmtId="10" fontId="25" fillId="0" borderId="18" xfId="0" applyNumberFormat="1" applyFont="1" applyBorder="1" applyProtection="1">
      <protection locked="0"/>
    </xf>
    <xf numFmtId="0" fontId="1" fillId="0" borderId="22" xfId="0" applyFont="1" applyBorder="1" applyAlignment="1" applyProtection="1">
      <alignment horizontal="left" vertical="center" wrapText="1"/>
      <protection locked="0"/>
    </xf>
    <xf numFmtId="10" fontId="25" fillId="0" borderId="22" xfId="0" applyNumberFormat="1" applyFont="1" applyBorder="1" applyProtection="1">
      <protection locked="0"/>
    </xf>
    <xf numFmtId="3" fontId="0" fillId="0" borderId="18" xfId="0" applyNumberFormat="1" applyBorder="1" applyAlignment="1" applyProtection="1">
      <alignment horizontal="center"/>
      <protection locked="0"/>
    </xf>
    <xf numFmtId="3" fontId="0" fillId="0" borderId="13" xfId="0" applyNumberFormat="1" applyBorder="1" applyAlignment="1" applyProtection="1">
      <alignment horizontal="center"/>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2" fillId="25" borderId="25" xfId="0" applyFont="1" applyFill="1" applyBorder="1" applyAlignment="1">
      <alignment horizontal="center" vertical="center" wrapText="1"/>
    </xf>
    <xf numFmtId="0" fontId="2" fillId="25" borderId="26"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0" fillId="0" borderId="27" xfId="0" applyBorder="1" applyAlignment="1" applyProtection="1">
      <alignment vertical="center"/>
      <protection locked="0"/>
    </xf>
    <xf numFmtId="166" fontId="0" fillId="26" borderId="28" xfId="0" applyNumberFormat="1" applyFill="1" applyBorder="1" applyAlignment="1" applyProtection="1">
      <alignment vertical="center" wrapText="1"/>
      <protection locked="0"/>
    </xf>
    <xf numFmtId="166" fontId="0" fillId="26" borderId="13" xfId="0" applyNumberFormat="1" applyFill="1" applyBorder="1" applyAlignment="1" applyProtection="1">
      <alignment vertical="center" wrapText="1"/>
      <protection locked="0"/>
    </xf>
    <xf numFmtId="166" fontId="0" fillId="24" borderId="29" xfId="0" applyNumberFormat="1" applyFill="1" applyBorder="1" applyAlignment="1" applyProtection="1">
      <alignment vertical="center" wrapText="1"/>
    </xf>
    <xf numFmtId="166" fontId="0" fillId="26" borderId="30" xfId="0" applyNumberFormat="1" applyFill="1" applyBorder="1" applyAlignment="1" applyProtection="1">
      <alignment vertical="center" wrapText="1"/>
      <protection locked="0"/>
    </xf>
    <xf numFmtId="166" fontId="0" fillId="24" borderId="31" xfId="0" applyNumberFormat="1" applyFill="1" applyBorder="1" applyAlignment="1" applyProtection="1">
      <alignment vertical="center" wrapText="1"/>
    </xf>
    <xf numFmtId="166" fontId="0" fillId="24" borderId="27" xfId="0" applyNumberFormat="1" applyFill="1" applyBorder="1" applyAlignment="1" applyProtection="1">
      <alignment vertical="center" wrapText="1"/>
    </xf>
    <xf numFmtId="166" fontId="0" fillId="26" borderId="32" xfId="0" applyNumberFormat="1" applyFill="1" applyBorder="1" applyAlignment="1" applyProtection="1">
      <alignment vertical="center" wrapText="1"/>
      <protection locked="0"/>
    </xf>
    <xf numFmtId="166" fontId="0" fillId="26" borderId="33" xfId="0" applyNumberFormat="1" applyFill="1" applyBorder="1" applyAlignment="1" applyProtection="1">
      <alignment vertical="center" wrapText="1"/>
      <protection locked="0"/>
    </xf>
    <xf numFmtId="166" fontId="0" fillId="26" borderId="34" xfId="0" applyNumberFormat="1" applyFill="1" applyBorder="1" applyAlignment="1" applyProtection="1">
      <alignment vertical="center" wrapText="1"/>
      <protection locked="0"/>
    </xf>
    <xf numFmtId="166" fontId="0" fillId="26" borderId="24" xfId="0" applyNumberFormat="1" applyFill="1" applyBorder="1" applyAlignment="1" applyProtection="1">
      <alignment vertical="center" wrapText="1"/>
      <protection locked="0"/>
    </xf>
    <xf numFmtId="0" fontId="0" fillId="0" borderId="35" xfId="0" applyBorder="1" applyAlignment="1" applyProtection="1">
      <alignment vertical="center"/>
      <protection locked="0"/>
    </xf>
    <xf numFmtId="166" fontId="0" fillId="26" borderId="36" xfId="0" applyNumberFormat="1" applyFill="1" applyBorder="1" applyAlignment="1" applyProtection="1">
      <alignment vertical="center" wrapText="1"/>
      <protection locked="0"/>
    </xf>
    <xf numFmtId="166" fontId="0" fillId="26" borderId="15" xfId="0" applyNumberFormat="1" applyFill="1" applyBorder="1" applyAlignment="1" applyProtection="1">
      <alignment vertical="center" wrapText="1"/>
      <protection locked="0"/>
    </xf>
    <xf numFmtId="166" fontId="0" fillId="24" borderId="35" xfId="0" applyNumberFormat="1" applyFill="1" applyBorder="1" applyAlignment="1" applyProtection="1">
      <alignment vertical="center" wrapText="1"/>
    </xf>
    <xf numFmtId="0" fontId="42" fillId="25" borderId="37" xfId="0" applyFont="1" applyFill="1" applyBorder="1" applyProtection="1"/>
    <xf numFmtId="0" fontId="0" fillId="25" borderId="38" xfId="0" applyFill="1" applyBorder="1" applyProtection="1"/>
    <xf numFmtId="8" fontId="46" fillId="24" borderId="39" xfId="0" applyNumberFormat="1" applyFont="1" applyFill="1" applyBorder="1" applyProtection="1"/>
    <xf numFmtId="165" fontId="24" fillId="25" borderId="38" xfId="0" applyNumberFormat="1" applyFont="1" applyFill="1" applyBorder="1" applyAlignment="1" applyProtection="1">
      <alignment horizontal="right" vertical="center" wrapText="1"/>
    </xf>
    <xf numFmtId="0" fontId="0" fillId="0" borderId="0" xfId="0" applyProtection="1"/>
    <xf numFmtId="165" fontId="23" fillId="0" borderId="0" xfId="0" applyNumberFormat="1" applyFont="1" applyFill="1" applyBorder="1" applyAlignment="1" applyProtection="1">
      <alignment horizontal="right" vertical="center" wrapText="1"/>
    </xf>
    <xf numFmtId="3" fontId="43" fillId="25" borderId="18" xfId="0" applyNumberFormat="1" applyFont="1" applyFill="1" applyBorder="1" applyAlignment="1" applyProtection="1">
      <alignment vertical="center" wrapText="1"/>
    </xf>
    <xf numFmtId="3" fontId="36" fillId="0" borderId="18" xfId="0" applyNumberFormat="1"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50" fillId="0" borderId="40" xfId="0" applyFont="1" applyBorder="1" applyAlignment="1" applyProtection="1">
      <alignment horizontal="left"/>
      <protection locked="0"/>
    </xf>
    <xf numFmtId="0" fontId="50" fillId="0" borderId="41" xfId="0" applyFont="1" applyBorder="1" applyProtection="1">
      <protection locked="0"/>
    </xf>
    <xf numFmtId="2" fontId="50" fillId="0" borderId="42" xfId="0" applyNumberFormat="1" applyFont="1" applyBorder="1" applyProtection="1">
      <protection locked="0"/>
    </xf>
    <xf numFmtId="3" fontId="50" fillId="0" borderId="42" xfId="0" applyNumberFormat="1" applyFont="1" applyBorder="1" applyProtection="1">
      <protection locked="0"/>
    </xf>
    <xf numFmtId="3" fontId="45" fillId="24" borderId="29" xfId="0" applyNumberFormat="1" applyFont="1" applyFill="1" applyBorder="1" applyProtection="1"/>
    <xf numFmtId="4" fontId="50" fillId="24" borderId="43" xfId="0" applyNumberFormat="1" applyFont="1" applyFill="1" applyBorder="1" applyProtection="1"/>
    <xf numFmtId="4" fontId="50" fillId="24" borderId="44" xfId="0" applyNumberFormat="1" applyFont="1" applyFill="1" applyBorder="1" applyProtection="1"/>
    <xf numFmtId="4" fontId="45" fillId="24" borderId="45" xfId="0" applyNumberFormat="1" applyFont="1" applyFill="1" applyBorder="1" applyProtection="1"/>
    <xf numFmtId="0" fontId="50" fillId="0" borderId="28" xfId="0" applyFont="1" applyBorder="1" applyAlignment="1" applyProtection="1">
      <alignment horizontal="left"/>
      <protection locked="0"/>
    </xf>
    <xf numFmtId="2" fontId="50" fillId="0" borderId="46" xfId="0" applyNumberFormat="1" applyFont="1" applyBorder="1" applyProtection="1">
      <protection locked="0"/>
    </xf>
    <xf numFmtId="2" fontId="50" fillId="0" borderId="12" xfId="0" applyNumberFormat="1" applyFont="1" applyBorder="1" applyProtection="1">
      <protection locked="0"/>
    </xf>
    <xf numFmtId="3" fontId="50" fillId="0" borderId="46" xfId="0" applyNumberFormat="1" applyFont="1" applyBorder="1" applyProtection="1">
      <protection locked="0"/>
    </xf>
    <xf numFmtId="3" fontId="50" fillId="0" borderId="12" xfId="0" applyNumberFormat="1" applyFont="1" applyBorder="1" applyProtection="1">
      <protection locked="0"/>
    </xf>
    <xf numFmtId="3" fontId="45" fillId="24" borderId="31" xfId="0" applyNumberFormat="1" applyFont="1" applyFill="1" applyBorder="1" applyProtection="1"/>
    <xf numFmtId="4" fontId="50" fillId="24" borderId="28" xfId="0" applyNumberFormat="1" applyFont="1" applyFill="1" applyBorder="1" applyProtection="1"/>
    <xf numFmtId="4" fontId="50" fillId="24" borderId="41" xfId="0" applyNumberFormat="1" applyFont="1" applyFill="1" applyBorder="1" applyProtection="1"/>
    <xf numFmtId="4" fontId="45" fillId="24" borderId="31" xfId="0" applyNumberFormat="1" applyFont="1" applyFill="1" applyBorder="1" applyProtection="1"/>
    <xf numFmtId="0" fontId="50" fillId="0" borderId="18" xfId="0" applyFont="1" applyBorder="1" applyAlignment="1" applyProtection="1">
      <alignment horizontal="left"/>
      <protection locked="0"/>
    </xf>
    <xf numFmtId="0" fontId="50" fillId="0" borderId="12" xfId="0" applyFont="1" applyBorder="1" applyProtection="1">
      <protection locked="0"/>
    </xf>
    <xf numFmtId="4" fontId="50" fillId="24" borderId="47" xfId="0" applyNumberFormat="1" applyFont="1" applyFill="1" applyBorder="1" applyProtection="1"/>
    <xf numFmtId="4" fontId="50" fillId="24" borderId="12" xfId="0" applyNumberFormat="1" applyFont="1" applyFill="1" applyBorder="1" applyProtection="1"/>
    <xf numFmtId="0" fontId="50" fillId="0" borderId="22" xfId="0" applyFont="1" applyBorder="1" applyAlignment="1" applyProtection="1">
      <alignment horizontal="left"/>
      <protection locked="0"/>
    </xf>
    <xf numFmtId="0" fontId="50" fillId="0" borderId="23" xfId="0" applyFont="1" applyBorder="1" applyAlignment="1" applyProtection="1">
      <alignment horizontal="left"/>
      <protection locked="0"/>
    </xf>
    <xf numFmtId="2" fontId="50" fillId="0" borderId="48" xfId="0" applyNumberFormat="1" applyFont="1" applyBorder="1" applyProtection="1">
      <protection locked="0"/>
    </xf>
    <xf numFmtId="2" fontId="50" fillId="0" borderId="14" xfId="0" applyNumberFormat="1" applyFont="1" applyBorder="1" applyProtection="1">
      <protection locked="0"/>
    </xf>
    <xf numFmtId="3" fontId="50" fillId="0" borderId="48" xfId="0" applyNumberFormat="1" applyFont="1" applyBorder="1" applyProtection="1">
      <protection locked="0"/>
    </xf>
    <xf numFmtId="3" fontId="50" fillId="0" borderId="14" xfId="0" applyNumberFormat="1" applyFont="1" applyBorder="1" applyProtection="1">
      <protection locked="0"/>
    </xf>
    <xf numFmtId="4" fontId="50" fillId="24" borderId="36" xfId="0" applyNumberFormat="1" applyFont="1" applyFill="1" applyBorder="1" applyProtection="1"/>
    <xf numFmtId="4" fontId="50" fillId="24" borderId="14" xfId="0" applyNumberFormat="1" applyFont="1" applyFill="1" applyBorder="1" applyProtection="1"/>
    <xf numFmtId="3" fontId="45" fillId="24" borderId="39" xfId="0" applyNumberFormat="1" applyFont="1" applyFill="1" applyBorder="1" applyAlignment="1" applyProtection="1">
      <alignment vertical="center"/>
    </xf>
    <xf numFmtId="4" fontId="45" fillId="24" borderId="49" xfId="0" applyNumberFormat="1" applyFont="1" applyFill="1" applyBorder="1" applyAlignment="1" applyProtection="1">
      <alignment vertical="center"/>
    </xf>
    <xf numFmtId="4" fontId="45" fillId="24" borderId="50" xfId="0" applyNumberFormat="1" applyFont="1" applyFill="1" applyBorder="1" applyAlignment="1" applyProtection="1">
      <alignment vertical="center"/>
    </xf>
    <xf numFmtId="4" fontId="45" fillId="24" borderId="39" xfId="0" applyNumberFormat="1" applyFont="1" applyFill="1" applyBorder="1" applyAlignment="1" applyProtection="1">
      <alignment vertical="center"/>
    </xf>
    <xf numFmtId="0" fontId="0" fillId="0" borderId="51" xfId="0" applyBorder="1"/>
    <xf numFmtId="0" fontId="24" fillId="25" borderId="52" xfId="0" applyFont="1" applyFill="1" applyBorder="1" applyAlignment="1">
      <alignment horizontal="center" vertical="center" wrapText="1"/>
    </xf>
    <xf numFmtId="0" fontId="24" fillId="25" borderId="39" xfId="0" applyFont="1" applyFill="1" applyBorder="1" applyAlignment="1">
      <alignment horizontal="center" vertical="center" wrapText="1"/>
    </xf>
    <xf numFmtId="0" fontId="28" fillId="0" borderId="53" xfId="0" applyFont="1" applyBorder="1" applyAlignment="1" applyProtection="1">
      <alignment vertical="top" wrapText="1"/>
      <protection locked="0"/>
    </xf>
    <xf numFmtId="0" fontId="28" fillId="0" borderId="31" xfId="0" applyFont="1" applyBorder="1" applyAlignment="1" applyProtection="1">
      <alignment vertical="top" wrapText="1"/>
      <protection locked="0"/>
    </xf>
    <xf numFmtId="0" fontId="28" fillId="0" borderId="54" xfId="0" applyFont="1" applyBorder="1" applyAlignment="1" applyProtection="1">
      <alignment vertical="top" wrapText="1"/>
      <protection locked="0"/>
    </xf>
    <xf numFmtId="0" fontId="0" fillId="0" borderId="55" xfId="0" applyBorder="1"/>
    <xf numFmtId="0" fontId="36" fillId="0" borderId="46" xfId="0" applyFont="1" applyBorder="1" applyAlignment="1" applyProtection="1">
      <alignment vertical="center" wrapText="1"/>
      <protection locked="0"/>
    </xf>
    <xf numFmtId="0" fontId="36" fillId="0" borderId="18" xfId="0" applyFont="1" applyBorder="1" applyAlignment="1" applyProtection="1">
      <alignment vertical="center" wrapText="1"/>
      <protection locked="0"/>
    </xf>
    <xf numFmtId="0" fontId="36" fillId="0" borderId="18" xfId="0" applyFont="1" applyFill="1" applyBorder="1" applyAlignment="1" applyProtection="1">
      <alignment vertical="center" wrapText="1"/>
      <protection locked="0"/>
    </xf>
    <xf numFmtId="0" fontId="36" fillId="0" borderId="56" xfId="0" applyFont="1" applyBorder="1" applyAlignment="1" applyProtection="1">
      <alignment vertical="center" wrapText="1"/>
      <protection locked="0"/>
    </xf>
    <xf numFmtId="0" fontId="36" fillId="0" borderId="23" xfId="0" applyFont="1" applyBorder="1" applyAlignment="1" applyProtection="1">
      <alignment vertical="center" wrapText="1"/>
      <protection locked="0"/>
    </xf>
    <xf numFmtId="0" fontId="28" fillId="0" borderId="29" xfId="0" applyFont="1" applyBorder="1" applyAlignment="1" applyProtection="1">
      <alignment vertical="top" wrapText="1"/>
      <protection locked="0"/>
    </xf>
    <xf numFmtId="0" fontId="28" fillId="0" borderId="27" xfId="0" applyFont="1" applyBorder="1" applyAlignment="1" applyProtection="1">
      <alignment vertical="top" wrapText="1"/>
      <protection locked="0"/>
    </xf>
    <xf numFmtId="0" fontId="24" fillId="24" borderId="39" xfId="0" applyFont="1" applyFill="1" applyBorder="1" applyAlignment="1" applyProtection="1">
      <alignment vertical="top" wrapText="1"/>
    </xf>
    <xf numFmtId="0" fontId="29" fillId="27" borderId="57" xfId="0" applyFont="1" applyFill="1" applyBorder="1" applyAlignment="1" applyProtection="1">
      <alignment vertical="top" wrapText="1"/>
    </xf>
    <xf numFmtId="0" fontId="0" fillId="0" borderId="0" xfId="0" applyAlignment="1"/>
    <xf numFmtId="0" fontId="24" fillId="28" borderId="10" xfId="0" applyFont="1" applyFill="1" applyBorder="1" applyAlignment="1">
      <alignment horizontal="left" vertical="top" wrapText="1" indent="1"/>
    </xf>
    <xf numFmtId="0" fontId="24" fillId="28" borderId="10" xfId="0" applyFont="1" applyFill="1" applyBorder="1" applyAlignment="1">
      <alignment horizontal="center" vertical="top" wrapText="1"/>
    </xf>
    <xf numFmtId="0" fontId="29" fillId="28" borderId="10" xfId="0" applyFont="1" applyFill="1" applyBorder="1" applyAlignment="1">
      <alignment horizontal="right" vertical="top" wrapText="1"/>
    </xf>
    <xf numFmtId="0" fontId="1" fillId="0" borderId="0" xfId="0" applyFont="1" applyAlignment="1" applyProtection="1">
      <alignment wrapText="1"/>
    </xf>
    <xf numFmtId="164" fontId="28" fillId="0" borderId="18" xfId="0" applyNumberFormat="1" applyFont="1" applyBorder="1" applyAlignment="1" applyProtection="1">
      <alignment horizontal="center" vertical="center" wrapText="1"/>
      <protection locked="0"/>
    </xf>
    <xf numFmtId="0" fontId="1" fillId="0" borderId="19" xfId="0" applyFont="1" applyBorder="1" applyAlignment="1" applyProtection="1">
      <alignment vertical="center" wrapText="1"/>
    </xf>
    <xf numFmtId="0" fontId="1" fillId="0" borderId="58" xfId="0" applyFont="1" applyBorder="1" applyAlignment="1" applyProtection="1">
      <alignment vertical="center" wrapText="1"/>
    </xf>
    <xf numFmtId="0" fontId="28" fillId="25" borderId="46" xfId="0" applyFont="1" applyFill="1" applyBorder="1" applyAlignment="1" applyProtection="1">
      <alignment horizontal="justify" vertical="center" wrapText="1"/>
    </xf>
    <xf numFmtId="0" fontId="28" fillId="25" borderId="18" xfId="0" applyFont="1" applyFill="1" applyBorder="1" applyAlignment="1" applyProtection="1">
      <alignment horizontal="justify" vertical="center" wrapText="1"/>
    </xf>
    <xf numFmtId="0" fontId="28" fillId="0" borderId="12" xfId="0" applyFont="1" applyBorder="1" applyAlignment="1" applyProtection="1">
      <alignment horizontal="justify" vertical="center" wrapText="1"/>
      <protection locked="0"/>
    </xf>
    <xf numFmtId="0" fontId="28" fillId="0" borderId="20" xfId="0" applyFont="1" applyBorder="1" applyAlignment="1" applyProtection="1">
      <alignment horizontal="justify" vertical="center" wrapText="1"/>
      <protection locked="0"/>
    </xf>
    <xf numFmtId="0" fontId="1" fillId="25" borderId="18" xfId="0" applyFont="1" applyFill="1" applyBorder="1" applyAlignment="1" applyProtection="1">
      <alignment horizontal="justify" vertical="center" wrapText="1"/>
    </xf>
    <xf numFmtId="164" fontId="28" fillId="0" borderId="18" xfId="0" applyNumberFormat="1" applyFont="1" applyBorder="1" applyAlignment="1" applyProtection="1">
      <alignment horizontal="justify" vertical="center" wrapText="1"/>
      <protection locked="0"/>
    </xf>
    <xf numFmtId="0" fontId="28" fillId="25" borderId="23" xfId="0" applyFont="1" applyFill="1" applyBorder="1" applyAlignment="1" applyProtection="1">
      <alignment horizontal="justify" vertical="center" wrapText="1"/>
    </xf>
    <xf numFmtId="0" fontId="28" fillId="25" borderId="59" xfId="0" applyFont="1" applyFill="1" applyBorder="1" applyAlignment="1" applyProtection="1">
      <alignment horizontal="justify" vertical="center" wrapText="1"/>
    </xf>
    <xf numFmtId="1" fontId="28" fillId="0" borderId="21" xfId="0" applyNumberFormat="1" applyFont="1" applyBorder="1" applyAlignment="1" applyProtection="1">
      <alignment horizontal="justify" vertical="center" wrapText="1"/>
      <protection locked="0"/>
    </xf>
    <xf numFmtId="166" fontId="28" fillId="0" borderId="60" xfId="0" applyNumberFormat="1" applyFont="1" applyBorder="1" applyAlignment="1" applyProtection="1">
      <alignment horizontal="right" vertical="center" wrapText="1"/>
      <protection locked="0"/>
    </xf>
    <xf numFmtId="166" fontId="28" fillId="0" borderId="61" xfId="0" applyNumberFormat="1" applyFont="1" applyBorder="1" applyAlignment="1" applyProtection="1">
      <alignment horizontal="right" vertical="center" wrapText="1"/>
      <protection locked="0"/>
    </xf>
    <xf numFmtId="166" fontId="28" fillId="0" borderId="23" xfId="0" applyNumberFormat="1" applyFont="1" applyBorder="1" applyAlignment="1" applyProtection="1">
      <alignment horizontal="right" vertical="center" wrapText="1"/>
      <protection locked="0"/>
    </xf>
    <xf numFmtId="166" fontId="28" fillId="0" borderId="22" xfId="0" applyNumberFormat="1" applyFont="1" applyBorder="1" applyAlignment="1" applyProtection="1">
      <alignment horizontal="right" vertical="center" wrapText="1"/>
      <protection locked="0"/>
    </xf>
    <xf numFmtId="166" fontId="28" fillId="0" borderId="14" xfId="0" applyNumberFormat="1" applyFont="1" applyBorder="1" applyAlignment="1" applyProtection="1">
      <alignment horizontal="right" vertical="center" wrapText="1"/>
      <protection locked="0"/>
    </xf>
    <xf numFmtId="0" fontId="1" fillId="0" borderId="18" xfId="0" applyFont="1" applyBorder="1" applyProtection="1"/>
    <xf numFmtId="0" fontId="36" fillId="0" borderId="18" xfId="0" applyFont="1" applyBorder="1" applyProtection="1"/>
    <xf numFmtId="0" fontId="1" fillId="0" borderId="18" xfId="0" applyFont="1" applyBorder="1" applyAlignment="1" applyProtection="1">
      <alignment vertical="center"/>
    </xf>
    <xf numFmtId="0" fontId="0" fillId="0" borderId="0" xfId="0" applyAlignment="1" applyProtection="1">
      <alignment wrapText="1"/>
    </xf>
    <xf numFmtId="0" fontId="53" fillId="0" borderId="0" xfId="0" applyFont="1" applyAlignment="1" applyProtection="1">
      <alignment wrapText="1"/>
    </xf>
    <xf numFmtId="0" fontId="0" fillId="0" borderId="33"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0" xfId="0" applyBorder="1" applyProtection="1"/>
    <xf numFmtId="0" fontId="0" fillId="0" borderId="62" xfId="0" applyBorder="1" applyProtection="1"/>
    <xf numFmtId="0" fontId="23" fillId="0" borderId="0" xfId="0" applyFont="1" applyBorder="1" applyAlignment="1" applyProtection="1">
      <alignment vertical="top" wrapText="1"/>
    </xf>
    <xf numFmtId="0" fontId="11" fillId="0" borderId="0" xfId="32" applyBorder="1" applyAlignment="1" applyProtection="1">
      <alignment vertical="top" wrapText="1"/>
    </xf>
    <xf numFmtId="0" fontId="0" fillId="0" borderId="63" xfId="0" applyBorder="1" applyProtection="1"/>
    <xf numFmtId="0" fontId="39" fillId="0" borderId="0" xfId="0" applyFont="1" applyBorder="1" applyAlignment="1" applyProtection="1">
      <alignment horizontal="left" vertical="top"/>
    </xf>
    <xf numFmtId="0" fontId="23" fillId="0" borderId="0" xfId="0" applyFont="1" applyBorder="1" applyAlignment="1" applyProtection="1">
      <alignment horizontal="left" vertical="top" wrapText="1"/>
    </xf>
    <xf numFmtId="0" fontId="0" fillId="0" borderId="63" xfId="0" applyBorder="1" applyAlignment="1" applyProtection="1">
      <alignment vertical="center"/>
    </xf>
    <xf numFmtId="0" fontId="24" fillId="25" borderId="13" xfId="0" applyFont="1" applyFill="1" applyBorder="1" applyAlignment="1" applyProtection="1">
      <alignment horizontal="center" vertical="center" wrapText="1"/>
    </xf>
    <xf numFmtId="0" fontId="30" fillId="0" borderId="0" xfId="0" applyFont="1" applyBorder="1" applyAlignment="1" applyProtection="1">
      <alignment vertical="top" wrapText="1"/>
    </xf>
    <xf numFmtId="0" fontId="23" fillId="0" borderId="0" xfId="0" applyFont="1" applyBorder="1" applyAlignment="1" applyProtection="1">
      <alignment horizontal="left" vertical="center" wrapText="1"/>
    </xf>
    <xf numFmtId="0" fontId="0" fillId="0" borderId="0" xfId="0" applyBorder="1" applyAlignment="1" applyProtection="1">
      <alignment horizontal="center"/>
    </xf>
    <xf numFmtId="0" fontId="29" fillId="25" borderId="59" xfId="0" applyFont="1" applyFill="1" applyBorder="1" applyAlignment="1" applyProtection="1">
      <alignment horizontal="center" vertical="center" wrapText="1"/>
    </xf>
    <xf numFmtId="0" fontId="41" fillId="25" borderId="42" xfId="0" applyFont="1" applyFill="1" applyBorder="1" applyAlignment="1" applyProtection="1">
      <alignment horizontal="center" vertical="center"/>
    </xf>
    <xf numFmtId="0" fontId="42" fillId="25" borderId="59" xfId="0" applyFont="1" applyFill="1" applyBorder="1" applyAlignment="1" applyProtection="1">
      <alignment horizontal="center" vertical="center"/>
    </xf>
    <xf numFmtId="0" fontId="42" fillId="25" borderId="64"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42" fillId="25" borderId="46" xfId="0" applyFont="1" applyFill="1" applyBorder="1" applyProtection="1"/>
    <xf numFmtId="0" fontId="0" fillId="0" borderId="0" xfId="0" applyFill="1" applyBorder="1" applyProtection="1"/>
    <xf numFmtId="0" fontId="42" fillId="25" borderId="48" xfId="0" applyFont="1" applyFill="1" applyBorder="1" applyProtection="1"/>
    <xf numFmtId="0" fontId="42" fillId="25" borderId="65" xfId="0" applyFont="1" applyFill="1" applyBorder="1" applyAlignment="1" applyProtection="1">
      <alignment horizontal="center" vertical="center" wrapText="1"/>
    </xf>
    <xf numFmtId="0" fontId="42" fillId="25" borderId="60" xfId="0" applyFont="1" applyFill="1" applyBorder="1" applyAlignment="1" applyProtection="1">
      <alignment horizontal="center" vertical="center" wrapText="1"/>
    </xf>
    <xf numFmtId="0" fontId="42" fillId="25" borderId="56" xfId="0" applyFont="1" applyFill="1" applyBorder="1" applyAlignment="1" applyProtection="1">
      <alignment horizontal="center" vertical="center" wrapText="1"/>
    </xf>
    <xf numFmtId="0" fontId="42" fillId="25" borderId="23" xfId="0" applyFont="1" applyFill="1" applyBorder="1" applyAlignment="1" applyProtection="1">
      <alignment horizontal="center" vertical="center" wrapText="1"/>
    </xf>
    <xf numFmtId="0" fontId="42" fillId="25" borderId="13" xfId="0" applyFont="1" applyFill="1" applyBorder="1" applyAlignment="1" applyProtection="1">
      <alignment horizontal="left" vertical="center" wrapText="1"/>
    </xf>
    <xf numFmtId="0" fontId="42" fillId="25" borderId="15" xfId="0" applyFont="1" applyFill="1" applyBorder="1" applyAlignment="1" applyProtection="1">
      <alignment horizontal="left" vertical="center" wrapText="1"/>
    </xf>
    <xf numFmtId="0" fontId="42" fillId="25" borderId="48" xfId="0" applyFont="1" applyFill="1" applyBorder="1" applyAlignment="1" applyProtection="1">
      <alignment horizontal="center" vertical="center" wrapText="1"/>
    </xf>
    <xf numFmtId="0" fontId="42" fillId="25" borderId="22" xfId="0" applyFont="1" applyFill="1" applyBorder="1" applyAlignment="1" applyProtection="1">
      <alignment horizontal="center" vertical="center" wrapText="1"/>
    </xf>
    <xf numFmtId="166" fontId="0" fillId="0" borderId="18" xfId="0" applyNumberFormat="1" applyBorder="1" applyAlignment="1" applyProtection="1">
      <alignment horizontal="center"/>
      <protection locked="0"/>
    </xf>
    <xf numFmtId="166" fontId="0" fillId="0" borderId="13" xfId="0" applyNumberFormat="1" applyBorder="1" applyAlignment="1" applyProtection="1">
      <alignment horizontal="center"/>
      <protection locked="0"/>
    </xf>
    <xf numFmtId="166" fontId="0" fillId="0" borderId="22" xfId="0" applyNumberFormat="1" applyBorder="1" applyAlignment="1" applyProtection="1">
      <alignment horizontal="center"/>
      <protection locked="0"/>
    </xf>
    <xf numFmtId="166" fontId="0" fillId="0" borderId="15" xfId="0" applyNumberFormat="1" applyBorder="1" applyAlignment="1" applyProtection="1">
      <alignment horizontal="center"/>
      <protection locked="0"/>
    </xf>
    <xf numFmtId="0" fontId="0" fillId="0" borderId="51" xfId="0" applyBorder="1" applyAlignment="1" applyProtection="1">
      <alignment vertical="center"/>
    </xf>
    <xf numFmtId="0" fontId="0" fillId="0" borderId="38" xfId="0" applyBorder="1" applyAlignment="1" applyProtection="1">
      <alignment vertical="center"/>
    </xf>
    <xf numFmtId="0" fontId="23" fillId="25" borderId="46" xfId="0" applyFont="1" applyFill="1" applyBorder="1" applyAlignment="1" applyProtection="1">
      <alignment horizontal="right" vertical="center" wrapText="1"/>
    </xf>
    <xf numFmtId="0" fontId="23" fillId="25" borderId="48" xfId="0" applyFont="1" applyFill="1" applyBorder="1" applyAlignment="1" applyProtection="1">
      <alignment horizontal="right" vertical="center" wrapText="1"/>
    </xf>
    <xf numFmtId="0" fontId="0" fillId="0" borderId="51" xfId="0" applyBorder="1" applyAlignment="1" applyProtection="1">
      <alignment horizontal="center" vertical="center"/>
    </xf>
    <xf numFmtId="0" fontId="30" fillId="0" borderId="0" xfId="0" applyFont="1" applyBorder="1" applyAlignment="1" applyProtection="1">
      <alignment vertical="center" wrapText="1"/>
    </xf>
    <xf numFmtId="0" fontId="30" fillId="0" borderId="38" xfId="0" applyFont="1" applyBorder="1" applyAlignment="1" applyProtection="1">
      <alignment vertical="center" wrapText="1"/>
    </xf>
    <xf numFmtId="0" fontId="23" fillId="25" borderId="66" xfId="0" applyFont="1" applyFill="1" applyBorder="1" applyAlignment="1" applyProtection="1">
      <alignment vertical="center" wrapText="1"/>
    </xf>
    <xf numFmtId="0" fontId="23" fillId="25" borderId="46" xfId="0" applyFont="1" applyFill="1" applyBorder="1" applyAlignment="1" applyProtection="1">
      <alignment vertical="center" wrapText="1"/>
    </xf>
    <xf numFmtId="0" fontId="0" fillId="25" borderId="18" xfId="0" applyFill="1" applyBorder="1" applyAlignment="1" applyProtection="1">
      <alignment vertical="center"/>
    </xf>
    <xf numFmtId="0" fontId="23" fillId="25" borderId="48" xfId="0" applyFont="1" applyFill="1" applyBorder="1" applyAlignment="1" applyProtection="1">
      <alignment vertical="center" wrapText="1"/>
    </xf>
    <xf numFmtId="0" fontId="23" fillId="25" borderId="22" xfId="0" applyFont="1" applyFill="1" applyBorder="1" applyAlignment="1" applyProtection="1">
      <alignment vertical="center" wrapText="1"/>
    </xf>
    <xf numFmtId="0" fontId="30" fillId="0" borderId="67" xfId="0" applyFont="1" applyBorder="1" applyAlignment="1" applyProtection="1">
      <alignment vertical="center" wrapText="1"/>
    </xf>
    <xf numFmtId="0" fontId="0" fillId="0" borderId="55" xfId="0" applyBorder="1" applyAlignment="1" applyProtection="1">
      <alignment vertical="center"/>
    </xf>
    <xf numFmtId="0" fontId="31" fillId="0" borderId="68" xfId="0" applyFont="1" applyBorder="1" applyAlignment="1" applyProtection="1">
      <alignment vertical="center" wrapText="1"/>
    </xf>
    <xf numFmtId="0" fontId="0" fillId="0" borderId="68" xfId="0" applyBorder="1" applyAlignment="1" applyProtection="1">
      <alignment vertical="center"/>
    </xf>
    <xf numFmtId="14" fontId="25" fillId="24" borderId="12" xfId="0" applyNumberFormat="1" applyFont="1" applyFill="1" applyBorder="1" applyAlignment="1" applyProtection="1">
      <alignment horizontal="center" vertical="center" wrapText="1"/>
    </xf>
    <xf numFmtId="14" fontId="25" fillId="24" borderId="14" xfId="0" applyNumberFormat="1" applyFont="1" applyFill="1" applyBorder="1" applyAlignment="1" applyProtection="1">
      <alignment horizontal="center" vertical="center" wrapText="1"/>
    </xf>
    <xf numFmtId="0" fontId="0" fillId="0" borderId="10" xfId="0" applyBorder="1" applyProtection="1"/>
    <xf numFmtId="0" fontId="21" fillId="0" borderId="19" xfId="0" applyFont="1" applyBorder="1" applyProtection="1"/>
    <xf numFmtId="0" fontId="21" fillId="0" borderId="19" xfId="0" applyFont="1" applyBorder="1" applyAlignment="1" applyProtection="1">
      <alignment vertical="center"/>
    </xf>
    <xf numFmtId="0" fontId="0" fillId="0" borderId="19" xfId="0" applyBorder="1" applyProtection="1"/>
    <xf numFmtId="14" fontId="0" fillId="26" borderId="28" xfId="0" applyNumberFormat="1" applyFill="1" applyBorder="1" applyAlignment="1" applyProtection="1">
      <alignment horizontal="center" vertical="center" wrapText="1"/>
      <protection locked="0"/>
    </xf>
    <xf numFmtId="14" fontId="0" fillId="26" borderId="36" xfId="0" applyNumberFormat="1" applyFill="1" applyBorder="1" applyAlignment="1" applyProtection="1">
      <alignment horizontal="center" vertical="center" wrapText="1"/>
      <protection locked="0"/>
    </xf>
    <xf numFmtId="9" fontId="0" fillId="26" borderId="28" xfId="0" applyNumberFormat="1" applyFill="1" applyBorder="1" applyAlignment="1" applyProtection="1">
      <alignment horizontal="center" vertical="center" wrapText="1"/>
      <protection locked="0"/>
    </xf>
    <xf numFmtId="0" fontId="0" fillId="26" borderId="69" xfId="0" applyFill="1" applyBorder="1" applyAlignment="1" applyProtection="1">
      <alignment horizontal="center" vertical="center" wrapText="1"/>
      <protection locked="0"/>
    </xf>
    <xf numFmtId="9" fontId="0" fillId="26" borderId="32" xfId="0" applyNumberFormat="1" applyFill="1" applyBorder="1" applyAlignment="1" applyProtection="1">
      <alignment horizontal="center" vertical="center" wrapText="1"/>
      <protection locked="0"/>
    </xf>
    <xf numFmtId="0" fontId="0" fillId="26" borderId="0" xfId="0" applyFill="1" applyBorder="1" applyAlignment="1" applyProtection="1">
      <alignment horizontal="center" vertical="center" wrapText="1"/>
      <protection locked="0"/>
    </xf>
    <xf numFmtId="9" fontId="0" fillId="26" borderId="34" xfId="0" applyNumberFormat="1" applyFill="1" applyBorder="1" applyAlignment="1" applyProtection="1">
      <alignment horizontal="center" vertical="center" wrapText="1"/>
      <protection locked="0"/>
    </xf>
    <xf numFmtId="0" fontId="0" fillId="26" borderId="70" xfId="0" applyFill="1" applyBorder="1" applyAlignment="1" applyProtection="1">
      <alignment horizontal="center" vertical="center" wrapText="1"/>
      <protection locked="0"/>
    </xf>
    <xf numFmtId="9" fontId="0" fillId="26" borderId="36" xfId="0" applyNumberFormat="1" applyFill="1" applyBorder="1" applyAlignment="1" applyProtection="1">
      <alignment horizontal="center" vertical="center" wrapText="1"/>
      <protection locked="0"/>
    </xf>
    <xf numFmtId="0" fontId="0" fillId="26" borderId="71" xfId="0" applyFill="1" applyBorder="1" applyAlignment="1" applyProtection="1">
      <alignment horizontal="center" vertical="center" wrapText="1"/>
      <protection locked="0"/>
    </xf>
    <xf numFmtId="2" fontId="50" fillId="0" borderId="43" xfId="0" applyNumberFormat="1" applyFont="1" applyBorder="1" applyProtection="1">
      <protection locked="0"/>
    </xf>
    <xf numFmtId="2" fontId="50" fillId="0" borderId="47" xfId="0" applyNumberFormat="1" applyFont="1" applyBorder="1" applyProtection="1">
      <protection locked="0"/>
    </xf>
    <xf numFmtId="3" fontId="50" fillId="0" borderId="43" xfId="0" applyNumberFormat="1" applyFont="1" applyBorder="1" applyProtection="1">
      <protection locked="0"/>
    </xf>
    <xf numFmtId="3" fontId="50" fillId="0" borderId="47" xfId="0" applyNumberFormat="1" applyFont="1" applyBorder="1" applyProtection="1">
      <protection locked="0"/>
    </xf>
    <xf numFmtId="0" fontId="23" fillId="0" borderId="62" xfId="0" applyFont="1" applyBorder="1" applyAlignment="1" applyProtection="1">
      <alignment horizontal="center"/>
    </xf>
    <xf numFmtId="0" fontId="23" fillId="0" borderId="67" xfId="0" applyFont="1" applyBorder="1" applyProtection="1"/>
    <xf numFmtId="0" fontId="23" fillId="0" borderId="72" xfId="0" applyFont="1" applyBorder="1" applyProtection="1"/>
    <xf numFmtId="0" fontId="23" fillId="0" borderId="63" xfId="0" applyFont="1" applyBorder="1" applyProtection="1"/>
    <xf numFmtId="0" fontId="23" fillId="0" borderId="19" xfId="0" applyFont="1" applyBorder="1" applyProtection="1"/>
    <xf numFmtId="0" fontId="53" fillId="0" borderId="0" xfId="0" applyFont="1" applyProtection="1"/>
    <xf numFmtId="0" fontId="23" fillId="0" borderId="18" xfId="0" applyFont="1" applyBorder="1" applyProtection="1"/>
    <xf numFmtId="14" fontId="23" fillId="0" borderId="18" xfId="0" applyNumberFormat="1" applyFont="1" applyBorder="1" applyProtection="1"/>
    <xf numFmtId="1" fontId="23" fillId="0" borderId="18" xfId="0" applyNumberFormat="1" applyFont="1" applyBorder="1" applyProtection="1"/>
    <xf numFmtId="0" fontId="36" fillId="0" borderId="63" xfId="0" applyFont="1" applyBorder="1" applyProtection="1"/>
    <xf numFmtId="0" fontId="23" fillId="0" borderId="0" xfId="0" applyFont="1" applyBorder="1" applyProtection="1"/>
    <xf numFmtId="0" fontId="0" fillId="0" borderId="18" xfId="0" applyBorder="1" applyProtection="1"/>
    <xf numFmtId="3" fontId="0" fillId="0" borderId="18" xfId="0" applyNumberFormat="1" applyBorder="1" applyProtection="1"/>
    <xf numFmtId="0" fontId="54" fillId="0" borderId="0" xfId="0" applyFont="1" applyProtection="1"/>
    <xf numFmtId="0" fontId="23" fillId="0" borderId="63" xfId="0" applyFont="1" applyBorder="1" applyAlignment="1" applyProtection="1"/>
    <xf numFmtId="0" fontId="23" fillId="0" borderId="19" xfId="0" applyFont="1" applyBorder="1" applyAlignment="1" applyProtection="1"/>
    <xf numFmtId="0" fontId="45" fillId="25" borderId="73" xfId="0" applyFont="1" applyFill="1" applyBorder="1" applyAlignment="1" applyProtection="1">
      <alignment horizontal="center" vertical="center" wrapText="1"/>
    </xf>
    <xf numFmtId="0" fontId="50" fillId="0" borderId="19" xfId="0" applyFont="1" applyBorder="1" applyAlignment="1" applyProtection="1"/>
    <xf numFmtId="0" fontId="45" fillId="25" borderId="74" xfId="0" applyFont="1" applyFill="1" applyBorder="1" applyAlignment="1" applyProtection="1">
      <alignment horizontal="center" vertical="center" wrapText="1"/>
    </xf>
    <xf numFmtId="0" fontId="45" fillId="25" borderId="75" xfId="0" applyFont="1" applyFill="1" applyBorder="1" applyAlignment="1" applyProtection="1">
      <alignment horizontal="center" vertical="center" wrapText="1"/>
    </xf>
    <xf numFmtId="0" fontId="45" fillId="25" borderId="45" xfId="0" applyFont="1" applyFill="1" applyBorder="1" applyAlignment="1" applyProtection="1">
      <alignment horizontal="center" vertical="center" wrapText="1"/>
    </xf>
    <xf numFmtId="0" fontId="45" fillId="25" borderId="76" xfId="0" applyFont="1" applyFill="1" applyBorder="1" applyAlignment="1" applyProtection="1">
      <alignment horizontal="center" vertical="center" wrapText="1"/>
    </xf>
    <xf numFmtId="0" fontId="45" fillId="25" borderId="39" xfId="0" applyFont="1" applyFill="1" applyBorder="1" applyAlignment="1" applyProtection="1">
      <alignment horizontal="center" vertical="center" wrapText="1"/>
    </xf>
    <xf numFmtId="3" fontId="45" fillId="24" borderId="49" xfId="0" applyNumberFormat="1" applyFont="1" applyFill="1" applyBorder="1" applyAlignment="1" applyProtection="1">
      <alignment vertical="center"/>
    </xf>
    <xf numFmtId="0" fontId="23" fillId="0" borderId="63" xfId="0" applyFont="1" applyFill="1" applyBorder="1" applyAlignment="1" applyProtection="1"/>
    <xf numFmtId="0" fontId="45" fillId="0" borderId="0" xfId="0" applyFont="1" applyFill="1" applyBorder="1" applyAlignment="1" applyProtection="1">
      <alignment horizontal="right" vertical="center"/>
    </xf>
    <xf numFmtId="3" fontId="45" fillId="0" borderId="0" xfId="0" applyNumberFormat="1" applyFont="1" applyFill="1" applyBorder="1" applyAlignment="1" applyProtection="1">
      <alignment vertical="center"/>
    </xf>
    <xf numFmtId="0" fontId="23" fillId="0" borderId="19" xfId="0" applyFont="1" applyFill="1" applyBorder="1" applyAlignment="1" applyProtection="1"/>
    <xf numFmtId="0" fontId="45" fillId="25" borderId="42" xfId="0" applyFont="1" applyFill="1" applyBorder="1" applyAlignment="1" applyProtection="1">
      <alignment horizontal="center" vertical="center" wrapText="1"/>
    </xf>
    <xf numFmtId="0" fontId="45" fillId="24" borderId="59" xfId="0" applyFont="1" applyFill="1" applyBorder="1" applyAlignment="1" applyProtection="1">
      <alignment horizontal="center" vertical="center"/>
    </xf>
    <xf numFmtId="0" fontId="45" fillId="25" borderId="59" xfId="0" applyFont="1" applyFill="1" applyBorder="1" applyAlignment="1" applyProtection="1">
      <alignment horizontal="center" vertical="center" wrapText="1"/>
    </xf>
    <xf numFmtId="1" fontId="45" fillId="24" borderId="59" xfId="0" applyNumberFormat="1" applyFont="1" applyFill="1" applyBorder="1" applyAlignment="1" applyProtection="1">
      <alignment horizontal="center" vertical="center"/>
    </xf>
    <xf numFmtId="3" fontId="50" fillId="0" borderId="0" xfId="0" applyNumberFormat="1" applyFont="1" applyFill="1" applyBorder="1" applyAlignment="1" applyProtection="1">
      <alignment vertical="center"/>
    </xf>
    <xf numFmtId="0" fontId="45" fillId="25" borderId="46" xfId="0" applyFont="1" applyFill="1" applyBorder="1" applyAlignment="1" applyProtection="1">
      <alignment horizontal="center" vertical="center" wrapText="1"/>
    </xf>
    <xf numFmtId="0" fontId="45" fillId="24" borderId="18" xfId="0" applyFont="1" applyFill="1" applyBorder="1" applyAlignment="1" applyProtection="1">
      <alignment horizontal="center" vertical="center"/>
    </xf>
    <xf numFmtId="0" fontId="45" fillId="25" borderId="18" xfId="0" applyFont="1" applyFill="1" applyBorder="1" applyAlignment="1" applyProtection="1">
      <alignment horizontal="center" vertical="center" wrapText="1"/>
    </xf>
    <xf numFmtId="0" fontId="0" fillId="0" borderId="77" xfId="0" applyBorder="1" applyProtection="1"/>
    <xf numFmtId="0" fontId="0" fillId="0" borderId="16" xfId="0" applyBorder="1" applyProtection="1"/>
    <xf numFmtId="0" fontId="0" fillId="0" borderId="58" xfId="0" applyBorder="1" applyProtection="1"/>
    <xf numFmtId="0" fontId="0" fillId="0" borderId="78" xfId="0" applyBorder="1" applyProtection="1"/>
    <xf numFmtId="0" fontId="28" fillId="0" borderId="79" xfId="0" applyFont="1" applyBorder="1" applyAlignment="1" applyProtection="1">
      <alignment vertical="top" wrapText="1"/>
    </xf>
    <xf numFmtId="0" fontId="28" fillId="0" borderId="80" xfId="0" applyFont="1" applyBorder="1" applyAlignment="1" applyProtection="1">
      <alignment vertical="top" wrapText="1"/>
    </xf>
    <xf numFmtId="0" fontId="0" fillId="0" borderId="51" xfId="0" applyBorder="1" applyProtection="1"/>
    <xf numFmtId="0" fontId="24" fillId="0" borderId="11" xfId="0" applyFont="1" applyBorder="1" applyAlignment="1" applyProtection="1">
      <alignment vertical="center" wrapText="1"/>
    </xf>
    <xf numFmtId="0" fontId="0" fillId="0" borderId="81" xfId="0" applyBorder="1" applyProtection="1"/>
    <xf numFmtId="0" fontId="24" fillId="0" borderId="11" xfId="0" applyFont="1" applyBorder="1" applyAlignment="1" applyProtection="1">
      <alignment vertical="top" wrapText="1"/>
    </xf>
    <xf numFmtId="0" fontId="24" fillId="25" borderId="16" xfId="0" applyFont="1" applyFill="1" applyBorder="1" applyAlignment="1" applyProtection="1">
      <alignment horizontal="center" vertical="center" wrapText="1"/>
    </xf>
    <xf numFmtId="0" fontId="24" fillId="25" borderId="50" xfId="0" applyFont="1" applyFill="1" applyBorder="1" applyAlignment="1" applyProtection="1">
      <alignment horizontal="center" vertical="center" wrapText="1"/>
    </xf>
    <xf numFmtId="0" fontId="24" fillId="25" borderId="39" xfId="0" applyFont="1" applyFill="1" applyBorder="1" applyAlignment="1" applyProtection="1">
      <alignment horizontal="center" vertical="center" wrapText="1"/>
    </xf>
    <xf numFmtId="0" fontId="0" fillId="0" borderId="55" xfId="0" applyBorder="1" applyProtection="1"/>
    <xf numFmtId="0" fontId="36" fillId="0" borderId="62" xfId="0" applyFont="1" applyBorder="1" applyProtection="1"/>
    <xf numFmtId="0" fontId="36" fillId="0" borderId="67" xfId="0" applyFont="1" applyBorder="1" applyAlignment="1" applyProtection="1">
      <alignment vertical="top" wrapText="1"/>
    </xf>
    <xf numFmtId="0" fontId="36" fillId="0" borderId="67" xfId="0" applyFont="1" applyBorder="1" applyProtection="1"/>
    <xf numFmtId="0" fontId="36" fillId="0" borderId="72" xfId="0" applyFont="1" applyBorder="1" applyProtection="1"/>
    <xf numFmtId="0" fontId="36" fillId="0" borderId="19" xfId="0" applyFont="1" applyBorder="1" applyProtection="1"/>
    <xf numFmtId="0" fontId="42" fillId="25" borderId="66" xfId="0" applyFont="1" applyFill="1" applyBorder="1" applyAlignment="1" applyProtection="1">
      <alignment vertical="center" wrapText="1"/>
    </xf>
    <xf numFmtId="0" fontId="42" fillId="25" borderId="40" xfId="0" applyFont="1" applyFill="1" applyBorder="1" applyAlignment="1" applyProtection="1">
      <alignment horizontal="center" vertical="center" wrapText="1"/>
    </xf>
    <xf numFmtId="0" fontId="27" fillId="25" borderId="40" xfId="0" applyFont="1" applyFill="1" applyBorder="1" applyAlignment="1" applyProtection="1">
      <alignment horizontal="center" vertical="center" wrapText="1"/>
    </xf>
    <xf numFmtId="0" fontId="27" fillId="25" borderId="41" xfId="0" applyFont="1" applyFill="1" applyBorder="1" applyAlignment="1" applyProtection="1">
      <alignment horizontal="center" vertical="center" wrapText="1"/>
    </xf>
    <xf numFmtId="2" fontId="42" fillId="25" borderId="29" xfId="0" applyNumberFormat="1" applyFont="1" applyFill="1" applyBorder="1" applyAlignment="1" applyProtection="1">
      <alignment horizontal="center" vertical="center" wrapText="1"/>
    </xf>
    <xf numFmtId="0" fontId="42" fillId="26" borderId="0" xfId="0" applyFont="1" applyFill="1" applyBorder="1" applyAlignment="1" applyProtection="1">
      <alignment horizontal="left" vertical="top" wrapText="1"/>
    </xf>
    <xf numFmtId="2" fontId="42" fillId="26" borderId="0" xfId="0" applyNumberFormat="1" applyFont="1" applyFill="1" applyBorder="1" applyAlignment="1" applyProtection="1">
      <alignment vertical="center" wrapText="1"/>
    </xf>
    <xf numFmtId="0" fontId="42" fillId="26" borderId="0" xfId="0" applyFont="1" applyFill="1" applyBorder="1" applyAlignment="1" applyProtection="1">
      <alignment vertical="top" wrapText="1"/>
    </xf>
    <xf numFmtId="2" fontId="42" fillId="25" borderId="49" xfId="0" applyNumberFormat="1" applyFont="1" applyFill="1" applyBorder="1" applyAlignment="1" applyProtection="1">
      <alignment horizontal="center" vertical="center" wrapText="1"/>
    </xf>
    <xf numFmtId="2" fontId="42" fillId="25" borderId="50" xfId="0" applyNumberFormat="1" applyFont="1" applyFill="1" applyBorder="1" applyAlignment="1" applyProtection="1">
      <alignment horizontal="center" vertical="center" wrapText="1"/>
    </xf>
    <xf numFmtId="2" fontId="42" fillId="25" borderId="39" xfId="0" applyNumberFormat="1" applyFont="1" applyFill="1" applyBorder="1" applyAlignment="1" applyProtection="1">
      <alignment horizontal="center" vertical="center" wrapText="1"/>
    </xf>
    <xf numFmtId="0" fontId="42" fillId="25" borderId="64" xfId="0" applyFont="1" applyFill="1" applyBorder="1" applyAlignment="1" applyProtection="1">
      <alignment horizontal="left" vertical="center" wrapText="1"/>
    </xf>
    <xf numFmtId="0" fontId="36" fillId="0" borderId="0" xfId="0" applyFont="1" applyBorder="1" applyProtection="1"/>
    <xf numFmtId="0" fontId="36" fillId="0" borderId="77" xfId="0" applyFont="1" applyBorder="1" applyProtection="1"/>
    <xf numFmtId="0" fontId="36" fillId="0" borderId="16" xfId="0" applyFont="1" applyBorder="1" applyProtection="1"/>
    <xf numFmtId="0" fontId="36" fillId="0" borderId="58" xfId="0" applyFont="1" applyBorder="1" applyProtection="1"/>
    <xf numFmtId="0" fontId="23" fillId="0" borderId="10" xfId="0" applyFont="1" applyBorder="1" applyAlignment="1" applyProtection="1">
      <alignment vertical="top" wrapText="1"/>
    </xf>
    <xf numFmtId="0" fontId="24" fillId="25" borderId="62" xfId="0" applyFont="1" applyFill="1" applyBorder="1" applyAlignment="1" applyProtection="1">
      <alignment horizontal="center" vertical="top" wrapText="1"/>
    </xf>
    <xf numFmtId="0" fontId="24" fillId="25" borderId="73" xfId="0" applyFont="1" applyFill="1" applyBorder="1" applyAlignment="1" applyProtection="1">
      <alignment horizontal="center" vertical="top" wrapText="1"/>
    </xf>
    <xf numFmtId="0" fontId="24" fillId="25" borderId="39" xfId="0" applyFont="1" applyFill="1" applyBorder="1" applyAlignment="1" applyProtection="1">
      <alignment horizontal="center" vertical="top" wrapText="1"/>
    </xf>
    <xf numFmtId="166" fontId="29" fillId="24" borderId="43" xfId="0" applyNumberFormat="1" applyFont="1" applyFill="1" applyBorder="1" applyAlignment="1">
      <alignment horizontal="right" vertical="top" wrapText="1"/>
    </xf>
    <xf numFmtId="166" fontId="29" fillId="24" borderId="59" xfId="0" applyNumberFormat="1" applyFont="1" applyFill="1" applyBorder="1" applyAlignment="1">
      <alignment horizontal="right" vertical="top" wrapText="1"/>
    </xf>
    <xf numFmtId="166" fontId="29" fillId="24" borderId="82" xfId="0" applyNumberFormat="1" applyFont="1" applyFill="1" applyBorder="1" applyAlignment="1">
      <alignment horizontal="right" vertical="top" wrapText="1"/>
    </xf>
    <xf numFmtId="166" fontId="29" fillId="24" borderId="47" xfId="0" applyNumberFormat="1" applyFont="1" applyFill="1" applyBorder="1" applyAlignment="1" applyProtection="1">
      <alignment horizontal="right" vertical="top" wrapText="1"/>
    </xf>
    <xf numFmtId="166" fontId="29" fillId="24" borderId="18" xfId="0" applyNumberFormat="1" applyFont="1" applyFill="1" applyBorder="1" applyAlignment="1" applyProtection="1">
      <alignment horizontal="right" vertical="top" wrapText="1"/>
    </xf>
    <xf numFmtId="166" fontId="29" fillId="24" borderId="20" xfId="0" applyNumberFormat="1" applyFont="1" applyFill="1" applyBorder="1" applyAlignment="1">
      <alignment horizontal="right" vertical="top" wrapText="1"/>
    </xf>
    <xf numFmtId="166" fontId="29" fillId="24" borderId="18" xfId="0" applyNumberFormat="1" applyFont="1" applyFill="1" applyBorder="1" applyAlignment="1" applyProtection="1">
      <alignment vertical="top" wrapText="1"/>
    </xf>
    <xf numFmtId="166" fontId="29" fillId="24" borderId="83" xfId="0" applyNumberFormat="1" applyFont="1" applyFill="1" applyBorder="1" applyAlignment="1">
      <alignment horizontal="right" vertical="top" wrapText="1"/>
    </xf>
    <xf numFmtId="166" fontId="29" fillId="24" borderId="36" xfId="0" applyNumberFormat="1" applyFont="1" applyFill="1" applyBorder="1" applyAlignment="1" applyProtection="1">
      <alignment horizontal="right" vertical="top" wrapText="1"/>
    </xf>
    <xf numFmtId="166" fontId="29" fillId="24" borderId="22" xfId="0" applyNumberFormat="1" applyFont="1" applyFill="1" applyBorder="1" applyAlignment="1" applyProtection="1">
      <alignment horizontal="right" vertical="top" wrapText="1"/>
    </xf>
    <xf numFmtId="166" fontId="29" fillId="24" borderId="21" xfId="0" applyNumberFormat="1" applyFont="1" applyFill="1" applyBorder="1" applyAlignment="1">
      <alignment horizontal="right" vertical="top" wrapText="1"/>
    </xf>
    <xf numFmtId="166" fontId="29" fillId="24" borderId="26" xfId="0" applyNumberFormat="1" applyFont="1" applyFill="1" applyBorder="1" applyAlignment="1" applyProtection="1">
      <alignment horizontal="right" vertical="top" wrapText="1"/>
    </xf>
    <xf numFmtId="166" fontId="29" fillId="24" borderId="26" xfId="0" applyNumberFormat="1" applyFont="1" applyFill="1" applyBorder="1" applyAlignment="1">
      <alignment horizontal="right" vertical="top" wrapText="1"/>
    </xf>
    <xf numFmtId="166" fontId="29" fillId="24" borderId="58" xfId="0" applyNumberFormat="1" applyFont="1" applyFill="1" applyBorder="1" applyAlignment="1">
      <alignment horizontal="right" vertical="top" wrapText="1"/>
    </xf>
    <xf numFmtId="0" fontId="50" fillId="28" borderId="0" xfId="0" applyFont="1" applyFill="1" applyBorder="1" applyAlignment="1">
      <alignment horizontal="justify" vertical="top" wrapText="1"/>
    </xf>
    <xf numFmtId="0" fontId="23" fillId="0" borderId="0" xfId="0" applyFont="1" applyBorder="1" applyAlignment="1">
      <alignment vertical="top" wrapText="1"/>
    </xf>
    <xf numFmtId="0" fontId="23" fillId="28" borderId="0" xfId="0" applyFont="1" applyFill="1" applyBorder="1" applyAlignment="1">
      <alignment vertical="top" wrapText="1"/>
    </xf>
    <xf numFmtId="0" fontId="0" fillId="0" borderId="0" xfId="0" applyBorder="1" applyAlignment="1"/>
    <xf numFmtId="0" fontId="0" fillId="0" borderId="68" xfId="0" applyBorder="1" applyAlignment="1"/>
    <xf numFmtId="0" fontId="0" fillId="0" borderId="68" xfId="0" applyBorder="1"/>
    <xf numFmtId="0" fontId="29" fillId="28" borderId="17" xfId="0" applyFont="1" applyFill="1" applyBorder="1" applyAlignment="1">
      <alignment horizontal="right" vertical="top" wrapText="1"/>
    </xf>
    <xf numFmtId="0" fontId="24" fillId="25" borderId="67" xfId="0" applyFont="1" applyFill="1" applyBorder="1" applyAlignment="1">
      <alignment horizontal="center" vertical="center" wrapText="1"/>
    </xf>
    <xf numFmtId="0" fontId="0" fillId="0" borderId="67" xfId="0" applyBorder="1" applyProtection="1"/>
    <xf numFmtId="0" fontId="42" fillId="25" borderId="37" xfId="0" applyFont="1" applyFill="1" applyBorder="1" applyAlignment="1" applyProtection="1">
      <alignment horizontal="left" indent="2"/>
    </xf>
    <xf numFmtId="0" fontId="0" fillId="25" borderId="84" xfId="0" applyFill="1" applyBorder="1" applyProtection="1"/>
    <xf numFmtId="0" fontId="36" fillId="0" borderId="63" xfId="0" applyFont="1" applyBorder="1" applyAlignment="1" applyProtection="1">
      <alignment horizontal="left" indent="2"/>
    </xf>
    <xf numFmtId="0" fontId="0" fillId="0" borderId="63" xfId="0" applyBorder="1" applyAlignment="1" applyProtection="1">
      <alignment horizontal="center"/>
    </xf>
    <xf numFmtId="0" fontId="0" fillId="0" borderId="63" xfId="0" applyBorder="1" applyAlignment="1" applyProtection="1">
      <alignment horizontal="right"/>
    </xf>
    <xf numFmtId="0" fontId="0" fillId="0" borderId="63" xfId="0" applyBorder="1" applyAlignment="1" applyProtection="1">
      <alignment horizontal="justify"/>
    </xf>
    <xf numFmtId="0" fontId="0" fillId="0" borderId="0" xfId="0" applyBorder="1" applyAlignment="1" applyProtection="1">
      <alignment horizontal="justify"/>
    </xf>
    <xf numFmtId="0" fontId="0" fillId="0" borderId="19" xfId="0" applyBorder="1" applyAlignment="1" applyProtection="1">
      <alignment horizontal="justify"/>
    </xf>
    <xf numFmtId="0" fontId="1" fillId="0" borderId="63" xfId="0" applyFont="1" applyBorder="1" applyAlignment="1" applyProtection="1">
      <alignment vertical="top" wrapText="1"/>
    </xf>
    <xf numFmtId="0" fontId="1" fillId="0" borderId="0" xfId="0" applyFont="1" applyBorder="1" applyAlignment="1" applyProtection="1">
      <alignment vertical="top" wrapText="1"/>
    </xf>
    <xf numFmtId="0" fontId="1" fillId="0" borderId="19" xfId="0" applyFont="1" applyBorder="1" applyAlignment="1" applyProtection="1">
      <alignment vertical="top" wrapText="1"/>
    </xf>
    <xf numFmtId="0" fontId="1" fillId="0" borderId="65" xfId="0" applyFont="1" applyBorder="1" applyAlignment="1" applyProtection="1">
      <alignment vertical="top" wrapText="1"/>
    </xf>
    <xf numFmtId="0" fontId="1" fillId="0" borderId="33" xfId="0" applyFont="1" applyBorder="1" applyAlignment="1" applyProtection="1">
      <alignment vertical="top" wrapText="1"/>
    </xf>
    <xf numFmtId="0" fontId="53" fillId="0" borderId="0" xfId="0" applyFont="1" applyBorder="1" applyAlignment="1"/>
    <xf numFmtId="14" fontId="0" fillId="0" borderId="18" xfId="0" applyNumberFormat="1" applyBorder="1" applyAlignment="1"/>
    <xf numFmtId="0" fontId="0" fillId="0" borderId="18" xfId="0" applyBorder="1" applyAlignment="1"/>
    <xf numFmtId="14" fontId="0" fillId="0" borderId="0" xfId="0" applyNumberFormat="1" applyAlignment="1"/>
    <xf numFmtId="0" fontId="53" fillId="0" borderId="0" xfId="0" applyFont="1" applyAlignment="1"/>
    <xf numFmtId="166" fontId="28" fillId="0" borderId="42" xfId="0" applyNumberFormat="1" applyFont="1" applyBorder="1" applyAlignment="1" applyProtection="1">
      <alignment horizontal="right" vertical="center" wrapText="1"/>
      <protection locked="0"/>
    </xf>
    <xf numFmtId="166" fontId="28" fillId="0" borderId="44" xfId="0" applyNumberFormat="1" applyFont="1" applyBorder="1" applyAlignment="1" applyProtection="1">
      <alignment horizontal="right" vertical="center" wrapText="1"/>
      <protection locked="0"/>
    </xf>
    <xf numFmtId="166" fontId="28" fillId="24" borderId="53" xfId="0" applyNumberFormat="1" applyFont="1" applyFill="1" applyBorder="1" applyAlignment="1" applyProtection="1">
      <alignment horizontal="right" vertical="top" wrapText="1"/>
    </xf>
    <xf numFmtId="166" fontId="28" fillId="0" borderId="66" xfId="0" applyNumberFormat="1" applyFont="1" applyBorder="1" applyAlignment="1" applyProtection="1">
      <alignment horizontal="right" vertical="center" wrapText="1"/>
      <protection locked="0"/>
    </xf>
    <xf numFmtId="166" fontId="28" fillId="0" borderId="41" xfId="0" applyNumberFormat="1" applyFont="1" applyBorder="1" applyAlignment="1" applyProtection="1">
      <alignment horizontal="right" vertical="center" wrapText="1"/>
      <protection locked="0"/>
    </xf>
    <xf numFmtId="166" fontId="28" fillId="24" borderId="31" xfId="0" applyNumberFormat="1" applyFont="1" applyFill="1" applyBorder="1" applyAlignment="1" applyProtection="1">
      <alignment horizontal="right" vertical="top" wrapText="1"/>
    </xf>
    <xf numFmtId="166" fontId="28" fillId="0" borderId="46" xfId="0" applyNumberFormat="1" applyFont="1" applyBorder="1" applyAlignment="1" applyProtection="1">
      <alignment horizontal="right" vertical="center" wrapText="1"/>
      <protection locked="0"/>
    </xf>
    <xf numFmtId="166" fontId="28" fillId="0" borderId="12" xfId="0" applyNumberFormat="1" applyFont="1" applyBorder="1" applyAlignment="1" applyProtection="1">
      <alignment horizontal="right" vertical="center" wrapText="1"/>
      <protection locked="0"/>
    </xf>
    <xf numFmtId="166" fontId="28" fillId="0" borderId="48" xfId="0" applyNumberFormat="1" applyFont="1" applyBorder="1" applyAlignment="1" applyProtection="1">
      <alignment horizontal="right" vertical="center" wrapText="1"/>
      <protection locked="0"/>
    </xf>
    <xf numFmtId="166" fontId="28" fillId="24" borderId="57" xfId="0" applyNumberFormat="1" applyFont="1" applyFill="1" applyBorder="1" applyAlignment="1" applyProtection="1">
      <alignment horizontal="right" vertical="top" wrapText="1"/>
    </xf>
    <xf numFmtId="166" fontId="29" fillId="24" borderId="16" xfId="0" applyNumberFormat="1" applyFont="1" applyFill="1" applyBorder="1" applyAlignment="1" applyProtection="1">
      <alignment horizontal="right" vertical="top" wrapText="1"/>
    </xf>
    <xf numFmtId="166" fontId="29" fillId="24" borderId="85" xfId="0" applyNumberFormat="1" applyFont="1" applyFill="1" applyBorder="1" applyAlignment="1" applyProtection="1">
      <alignment horizontal="right" vertical="top" wrapText="1"/>
    </xf>
    <xf numFmtId="166" fontId="29" fillId="24" borderId="57" xfId="0" applyNumberFormat="1" applyFont="1" applyFill="1" applyBorder="1" applyAlignment="1" applyProtection="1">
      <alignment horizontal="right" vertical="top" wrapText="1"/>
    </xf>
    <xf numFmtId="14" fontId="0" fillId="26" borderId="32" xfId="0" applyNumberFormat="1" applyFill="1" applyBorder="1" applyAlignment="1" applyProtection="1">
      <alignment horizontal="center" vertical="center" wrapText="1"/>
      <protection locked="0"/>
    </xf>
    <xf numFmtId="14" fontId="0" fillId="26" borderId="34" xfId="0" applyNumberFormat="1" applyFill="1" applyBorder="1" applyAlignment="1" applyProtection="1">
      <alignment horizontal="center" vertical="center" wrapText="1"/>
      <protection locked="0"/>
    </xf>
    <xf numFmtId="166" fontId="28" fillId="24" borderId="45" xfId="0" applyNumberFormat="1" applyFont="1" applyFill="1" applyBorder="1" applyAlignment="1" applyProtection="1">
      <alignment horizontal="right" vertical="center" wrapText="1"/>
    </xf>
    <xf numFmtId="166" fontId="28" fillId="24" borderId="54" xfId="0" applyNumberFormat="1" applyFont="1" applyFill="1" applyBorder="1" applyAlignment="1" applyProtection="1">
      <alignment horizontal="right" vertical="center" wrapText="1"/>
    </xf>
    <xf numFmtId="166" fontId="28" fillId="0" borderId="56" xfId="0" applyNumberFormat="1" applyFont="1" applyBorder="1" applyAlignment="1" applyProtection="1">
      <alignment horizontal="right" vertical="center" wrapText="1"/>
      <protection locked="0"/>
    </xf>
    <xf numFmtId="166" fontId="29" fillId="24" borderId="37" xfId="0" applyNumberFormat="1" applyFont="1" applyFill="1" applyBorder="1" applyAlignment="1" applyProtection="1">
      <alignment horizontal="right" vertical="top" wrapText="1"/>
    </xf>
    <xf numFmtId="166" fontId="29" fillId="24" borderId="50" xfId="0" applyNumberFormat="1" applyFont="1" applyFill="1" applyBorder="1" applyAlignment="1" applyProtection="1">
      <alignment horizontal="right" vertical="top" wrapText="1"/>
    </xf>
    <xf numFmtId="166" fontId="29" fillId="24" borderId="39" xfId="0" applyNumberFormat="1" applyFont="1" applyFill="1" applyBorder="1" applyAlignment="1" applyProtection="1">
      <alignment horizontal="right" vertical="top" wrapText="1"/>
    </xf>
    <xf numFmtId="166" fontId="28" fillId="27" borderId="48" xfId="0" applyNumberFormat="1" applyFont="1" applyFill="1" applyBorder="1" applyAlignment="1" applyProtection="1">
      <alignment horizontal="right" vertical="center" wrapText="1"/>
    </xf>
    <xf numFmtId="166" fontId="28" fillId="27" borderId="86" xfId="0" applyNumberFormat="1" applyFont="1" applyFill="1" applyBorder="1" applyAlignment="1" applyProtection="1">
      <alignment horizontal="right" vertical="center" wrapText="1"/>
    </xf>
    <xf numFmtId="166" fontId="29" fillId="24" borderId="57" xfId="0" applyNumberFormat="1" applyFont="1" applyFill="1" applyBorder="1" applyAlignment="1" applyProtection="1">
      <alignment horizontal="right" vertical="center" wrapText="1"/>
    </xf>
    <xf numFmtId="166" fontId="36" fillId="0" borderId="12" xfId="0" applyNumberFormat="1" applyFont="1" applyFill="1" applyBorder="1" applyAlignment="1" applyProtection="1">
      <alignment vertical="center" wrapText="1"/>
      <protection locked="0"/>
    </xf>
    <xf numFmtId="166" fontId="36" fillId="0" borderId="12" xfId="0" applyNumberFormat="1" applyFont="1" applyBorder="1" applyAlignment="1" applyProtection="1">
      <alignment vertical="center" wrapText="1"/>
      <protection locked="0"/>
    </xf>
    <xf numFmtId="166" fontId="36" fillId="24" borderId="31" xfId="0" applyNumberFormat="1" applyFont="1" applyFill="1" applyBorder="1" applyAlignment="1" applyProtection="1">
      <alignment vertical="center" wrapText="1"/>
    </xf>
    <xf numFmtId="166" fontId="36" fillId="0" borderId="23" xfId="0" applyNumberFormat="1" applyFont="1" applyBorder="1" applyAlignment="1" applyProtection="1">
      <alignment vertical="center" wrapText="1"/>
      <protection locked="0"/>
    </xf>
    <xf numFmtId="166" fontId="36" fillId="0" borderId="61" xfId="0" applyNumberFormat="1" applyFont="1" applyBorder="1" applyAlignment="1" applyProtection="1">
      <alignment vertical="center" wrapText="1"/>
      <protection locked="0"/>
    </xf>
    <xf numFmtId="166" fontId="36" fillId="24" borderId="54" xfId="0" applyNumberFormat="1" applyFont="1" applyFill="1" applyBorder="1" applyAlignment="1" applyProtection="1">
      <alignment vertical="center" wrapText="1"/>
    </xf>
    <xf numFmtId="166" fontId="42" fillId="24" borderId="52" xfId="0" applyNumberFormat="1" applyFont="1" applyFill="1" applyBorder="1" applyAlignment="1" applyProtection="1">
      <alignment vertical="center" wrapText="1"/>
    </xf>
    <xf numFmtId="166" fontId="42" fillId="24" borderId="50" xfId="0" applyNumberFormat="1" applyFont="1" applyFill="1" applyBorder="1" applyAlignment="1" applyProtection="1">
      <alignment vertical="center" wrapText="1"/>
    </xf>
    <xf numFmtId="166" fontId="42" fillId="24" borderId="39" xfId="0" applyNumberFormat="1" applyFont="1" applyFill="1" applyBorder="1" applyAlignment="1" applyProtection="1">
      <alignment vertical="center" wrapText="1"/>
    </xf>
    <xf numFmtId="166" fontId="36" fillId="24" borderId="42" xfId="0" applyNumberFormat="1" applyFont="1" applyFill="1" applyBorder="1" applyAlignment="1" applyProtection="1">
      <alignment horizontal="right" vertical="center" wrapText="1"/>
    </xf>
    <xf numFmtId="166" fontId="36" fillId="24" borderId="64" xfId="0" applyNumberFormat="1" applyFont="1" applyFill="1" applyBorder="1" applyAlignment="1" applyProtection="1">
      <alignment horizontal="right" vertical="center" wrapText="1"/>
    </xf>
    <xf numFmtId="166" fontId="36" fillId="24" borderId="87" xfId="0" applyNumberFormat="1" applyFont="1" applyFill="1" applyBorder="1" applyAlignment="1" applyProtection="1">
      <alignment vertical="center" wrapText="1"/>
    </xf>
    <xf numFmtId="166" fontId="36" fillId="24" borderId="46" xfId="0" applyNumberFormat="1" applyFont="1" applyFill="1" applyBorder="1" applyAlignment="1" applyProtection="1">
      <alignment horizontal="right" vertical="center" wrapText="1"/>
    </xf>
    <xf numFmtId="166" fontId="36" fillId="24" borderId="13" xfId="0" applyNumberFormat="1" applyFont="1" applyFill="1" applyBorder="1" applyAlignment="1" applyProtection="1">
      <alignment horizontal="right" vertical="center" wrapText="1"/>
    </xf>
    <xf numFmtId="166" fontId="36" fillId="24" borderId="20" xfId="0" applyNumberFormat="1" applyFont="1" applyFill="1" applyBorder="1" applyAlignment="1" applyProtection="1">
      <alignment vertical="center" wrapText="1"/>
    </xf>
    <xf numFmtId="166" fontId="36" fillId="24" borderId="48" xfId="0" applyNumberFormat="1" applyFont="1" applyFill="1" applyBorder="1" applyAlignment="1" applyProtection="1">
      <alignment horizontal="right" vertical="center" wrapText="1"/>
    </xf>
    <xf numFmtId="166" fontId="36" fillId="24" borderId="15" xfId="0" applyNumberFormat="1" applyFont="1" applyFill="1" applyBorder="1" applyAlignment="1" applyProtection="1">
      <alignment horizontal="right" vertical="center" wrapText="1"/>
    </xf>
    <xf numFmtId="166" fontId="36" fillId="24" borderId="21" xfId="0" applyNumberFormat="1" applyFont="1" applyFill="1" applyBorder="1" applyAlignment="1" applyProtection="1">
      <alignment vertical="center" wrapText="1"/>
    </xf>
    <xf numFmtId="1" fontId="28" fillId="0" borderId="18" xfId="0" applyNumberFormat="1" applyFont="1" applyBorder="1" applyAlignment="1" applyProtection="1">
      <alignment horizontal="center" vertical="center" wrapText="1"/>
      <protection locked="0"/>
    </xf>
    <xf numFmtId="1" fontId="28" fillId="0" borderId="12" xfId="0" applyNumberFormat="1" applyFont="1" applyBorder="1" applyAlignment="1" applyProtection="1">
      <alignment horizontal="center" vertical="center" wrapText="1"/>
      <protection locked="0"/>
    </xf>
    <xf numFmtId="4" fontId="50" fillId="0" borderId="0" xfId="0" applyNumberFormat="1" applyFont="1" applyFill="1" applyBorder="1" applyAlignment="1" applyProtection="1">
      <alignment vertical="center"/>
    </xf>
    <xf numFmtId="0" fontId="24" fillId="25" borderId="38" xfId="0" applyFont="1" applyFill="1" applyBorder="1" applyAlignment="1" applyProtection="1">
      <alignment horizontal="left" vertical="center" wrapText="1"/>
    </xf>
    <xf numFmtId="0" fontId="50" fillId="0" borderId="12" xfId="0" applyFont="1" applyBorder="1" applyAlignment="1" applyProtection="1">
      <alignment horizontal="left"/>
      <protection locked="0"/>
    </xf>
    <xf numFmtId="0" fontId="50" fillId="0" borderId="47" xfId="0" applyFont="1" applyBorder="1" applyAlignment="1" applyProtection="1">
      <alignment horizontal="left"/>
      <protection locked="0"/>
    </xf>
    <xf numFmtId="0" fontId="50" fillId="0" borderId="88" xfId="0" applyFont="1" applyBorder="1" applyAlignment="1" applyProtection="1">
      <alignment horizontal="left"/>
      <protection locked="0"/>
    </xf>
    <xf numFmtId="168" fontId="28" fillId="0" borderId="14" xfId="0" applyNumberFormat="1" applyFont="1" applyBorder="1" applyAlignment="1" applyProtection="1">
      <alignment horizontal="justify" vertical="center" wrapText="1"/>
      <protection locked="0"/>
    </xf>
    <xf numFmtId="0" fontId="55" fillId="0" borderId="18" xfId="0" applyFont="1" applyBorder="1" applyAlignment="1">
      <alignment vertical="center"/>
    </xf>
    <xf numFmtId="0" fontId="55" fillId="0" borderId="18" xfId="0" applyFont="1" applyBorder="1"/>
    <xf numFmtId="0" fontId="11" fillId="0" borderId="0" xfId="32" applyBorder="1" applyAlignment="1" applyProtection="1">
      <alignment horizontal="right" vertical="top"/>
    </xf>
    <xf numFmtId="0" fontId="0" fillId="0" borderId="18" xfId="0" applyBorder="1" applyAlignment="1" applyProtection="1">
      <alignment wrapText="1"/>
    </xf>
    <xf numFmtId="0" fontId="23" fillId="25" borderId="38" xfId="0" applyFont="1" applyFill="1" applyBorder="1" applyAlignment="1" applyProtection="1">
      <alignment horizontal="left" vertical="center" wrapText="1"/>
    </xf>
    <xf numFmtId="0" fontId="24" fillId="25" borderId="37" xfId="0" applyFont="1" applyFill="1" applyBorder="1" applyAlignment="1" applyProtection="1">
      <alignment horizontal="left" vertical="center"/>
    </xf>
    <xf numFmtId="14" fontId="23" fillId="25" borderId="52" xfId="0" applyNumberFormat="1" applyFont="1" applyFill="1" applyBorder="1" applyAlignment="1" applyProtection="1">
      <alignment horizontal="center" vertical="center" wrapText="1"/>
    </xf>
    <xf numFmtId="3" fontId="45" fillId="24" borderId="57" xfId="0" applyNumberFormat="1" applyFont="1" applyFill="1" applyBorder="1" applyAlignment="1" applyProtection="1">
      <alignment vertical="center"/>
    </xf>
    <xf numFmtId="0" fontId="0" fillId="0" borderId="18" xfId="0" applyBorder="1"/>
    <xf numFmtId="0" fontId="61" fillId="0" borderId="0" xfId="0" applyFont="1"/>
    <xf numFmtId="0" fontId="45" fillId="25" borderId="89" xfId="0" applyFont="1" applyFill="1" applyBorder="1" applyAlignment="1" applyProtection="1">
      <alignment horizontal="center" vertical="center" wrapText="1"/>
    </xf>
    <xf numFmtId="0" fontId="36" fillId="0" borderId="0" xfId="0" applyFont="1" applyBorder="1" applyAlignment="1">
      <alignment horizontal="left" vertical="center"/>
    </xf>
    <xf numFmtId="0" fontId="36" fillId="0" borderId="0" xfId="0" applyFont="1"/>
    <xf numFmtId="0" fontId="42" fillId="0" borderId="18" xfId="0" applyFont="1" applyBorder="1"/>
    <xf numFmtId="0" fontId="36" fillId="0" borderId="18" xfId="0" applyFont="1" applyBorder="1"/>
    <xf numFmtId="0" fontId="42" fillId="0" borderId="18" xfId="0" applyFont="1" applyFill="1" applyBorder="1"/>
    <xf numFmtId="0" fontId="0" fillId="0" borderId="18" xfId="0" applyBorder="1" applyAlignment="1">
      <alignment horizontal="right" vertical="top"/>
    </xf>
    <xf numFmtId="0" fontId="36" fillId="29" borderId="18" xfId="0" applyFont="1" applyFill="1" applyBorder="1" applyAlignment="1">
      <alignment horizontal="right" vertical="top"/>
    </xf>
    <xf numFmtId="0" fontId="42" fillId="30" borderId="18" xfId="0" applyFont="1" applyFill="1" applyBorder="1" applyAlignment="1">
      <alignment horizontal="right" vertical="top"/>
    </xf>
    <xf numFmtId="0" fontId="0" fillId="30" borderId="18" xfId="0" applyFill="1" applyBorder="1"/>
    <xf numFmtId="0" fontId="36" fillId="30" borderId="18" xfId="0" applyFont="1" applyFill="1" applyBorder="1" applyAlignment="1">
      <alignment horizontal="right" vertical="top"/>
    </xf>
    <xf numFmtId="0" fontId="42" fillId="31" borderId="18" xfId="0" applyFont="1" applyFill="1" applyBorder="1" applyAlignment="1">
      <alignment horizontal="right" vertical="top"/>
    </xf>
    <xf numFmtId="0" fontId="42" fillId="31" borderId="18" xfId="0" applyFont="1" applyFill="1" applyBorder="1"/>
    <xf numFmtId="0" fontId="0" fillId="31" borderId="18" xfId="0" applyFill="1" applyBorder="1"/>
    <xf numFmtId="0" fontId="36" fillId="31" borderId="18" xfId="0" applyFont="1" applyFill="1" applyBorder="1" applyAlignment="1">
      <alignment horizontal="right" vertical="top"/>
    </xf>
    <xf numFmtId="0" fontId="0" fillId="32" borderId="18" xfId="0" applyFill="1" applyBorder="1"/>
    <xf numFmtId="0" fontId="36" fillId="31" borderId="18" xfId="0" applyFont="1" applyFill="1" applyBorder="1"/>
    <xf numFmtId="0" fontId="0" fillId="33" borderId="18" xfId="0" applyFill="1" applyBorder="1"/>
    <xf numFmtId="0" fontId="36" fillId="34" borderId="18" xfId="0" applyFont="1" applyFill="1" applyBorder="1"/>
    <xf numFmtId="1" fontId="45" fillId="24" borderId="64" xfId="0" applyNumberFormat="1" applyFont="1" applyFill="1" applyBorder="1" applyAlignment="1" applyProtection="1">
      <alignment horizontal="center" vertical="center"/>
    </xf>
    <xf numFmtId="0" fontId="45" fillId="25" borderId="25" xfId="0" applyFont="1" applyFill="1" applyBorder="1" applyAlignment="1" applyProtection="1">
      <alignment horizontal="center" vertical="center" wrapText="1"/>
    </xf>
    <xf numFmtId="10" fontId="45" fillId="24" borderId="89" xfId="0" applyNumberFormat="1" applyFont="1" applyFill="1" applyBorder="1" applyAlignment="1" applyProtection="1">
      <alignment horizontal="center" vertical="center"/>
    </xf>
    <xf numFmtId="0" fontId="45" fillId="24" borderId="15" xfId="0" applyFont="1" applyFill="1" applyBorder="1" applyAlignment="1" applyProtection="1">
      <alignment horizontal="center" vertical="center"/>
    </xf>
    <xf numFmtId="0" fontId="0" fillId="0" borderId="38" xfId="0" applyBorder="1"/>
    <xf numFmtId="0" fontId="62" fillId="0" borderId="37" xfId="0" applyFont="1" applyBorder="1"/>
    <xf numFmtId="0" fontId="62" fillId="0" borderId="38" xfId="0" applyFont="1" applyBorder="1"/>
    <xf numFmtId="0" fontId="36" fillId="35" borderId="18" xfId="0" applyFont="1" applyFill="1" applyBorder="1"/>
    <xf numFmtId="0" fontId="62" fillId="0" borderId="84" xfId="0" applyFont="1" applyBorder="1"/>
    <xf numFmtId="0" fontId="0" fillId="0" borderId="84" xfId="0" applyBorder="1"/>
    <xf numFmtId="0" fontId="0" fillId="36" borderId="0" xfId="0" applyFill="1"/>
    <xf numFmtId="0" fontId="63" fillId="36" borderId="0" xfId="0" applyFont="1" applyFill="1"/>
    <xf numFmtId="0" fontId="64" fillId="36" borderId="0" xfId="0" applyFont="1" applyFill="1"/>
    <xf numFmtId="0" fontId="36" fillId="0" borderId="27" xfId="0" applyFont="1" applyBorder="1" applyAlignment="1" applyProtection="1">
      <alignment vertical="center"/>
      <protection locked="0"/>
    </xf>
    <xf numFmtId="0" fontId="43" fillId="25" borderId="18" xfId="0" applyFont="1" applyFill="1" applyBorder="1" applyAlignment="1">
      <alignment horizontal="center" vertical="center" wrapText="1"/>
    </xf>
    <xf numFmtId="0" fontId="53" fillId="0" borderId="0" xfId="0" applyFont="1" applyAlignment="1" applyProtection="1"/>
    <xf numFmtId="0" fontId="0" fillId="0" borderId="0" xfId="0" applyFont="1" applyBorder="1" applyAlignment="1" applyProtection="1"/>
    <xf numFmtId="0" fontId="42" fillId="29" borderId="18" xfId="0" applyFont="1" applyFill="1" applyBorder="1" applyAlignment="1">
      <alignment horizontal="right" vertical="top" wrapText="1"/>
    </xf>
    <xf numFmtId="0" fontId="36" fillId="29" borderId="18" xfId="0" applyFont="1" applyFill="1" applyBorder="1" applyAlignment="1">
      <alignment horizontal="right" vertical="top" wrapText="1"/>
    </xf>
    <xf numFmtId="3" fontId="45" fillId="24" borderId="18" xfId="0" applyNumberFormat="1" applyFont="1" applyFill="1" applyBorder="1" applyProtection="1"/>
    <xf numFmtId="4" fontId="50" fillId="24" borderId="18" xfId="0" applyNumberFormat="1" applyFont="1" applyFill="1" applyBorder="1" applyProtection="1"/>
    <xf numFmtId="4" fontId="45" fillId="24" borderId="18" xfId="0" applyNumberFormat="1" applyFont="1" applyFill="1" applyBorder="1" applyProtection="1"/>
    <xf numFmtId="0" fontId="61" fillId="0" borderId="0" xfId="0" applyFont="1" applyAlignment="1"/>
    <xf numFmtId="0" fontId="0" fillId="0" borderId="13" xfId="0" applyBorder="1"/>
    <xf numFmtId="166" fontId="28" fillId="33" borderId="48" xfId="0" applyNumberFormat="1" applyFont="1" applyFill="1" applyBorder="1" applyAlignment="1" applyProtection="1">
      <alignment horizontal="right" vertical="center" wrapText="1"/>
    </xf>
    <xf numFmtId="0" fontId="62" fillId="0" borderId="0" xfId="0" applyFont="1"/>
    <xf numFmtId="0" fontId="42" fillId="0" borderId="42" xfId="0" applyFont="1" applyFill="1" applyBorder="1"/>
    <xf numFmtId="0" fontId="0" fillId="29" borderId="46" xfId="0" applyFill="1" applyBorder="1"/>
    <xf numFmtId="0" fontId="0" fillId="29" borderId="13" xfId="0" applyFill="1" applyBorder="1"/>
    <xf numFmtId="0" fontId="0" fillId="0" borderId="46" xfId="0" applyBorder="1"/>
    <xf numFmtId="0" fontId="0" fillId="30" borderId="46" xfId="0" applyFill="1" applyBorder="1"/>
    <xf numFmtId="0" fontId="0" fillId="30" borderId="13" xfId="0" applyFill="1" applyBorder="1"/>
    <xf numFmtId="0" fontId="0" fillId="31" borderId="46" xfId="0" applyFill="1" applyBorder="1"/>
    <xf numFmtId="0" fontId="0" fillId="31" borderId="13" xfId="0" applyFill="1" applyBorder="1"/>
    <xf numFmtId="0" fontId="62" fillId="37" borderId="61" xfId="0" applyFont="1" applyFill="1" applyBorder="1"/>
    <xf numFmtId="0" fontId="0" fillId="37" borderId="70" xfId="0" applyFill="1" applyBorder="1"/>
    <xf numFmtId="0" fontId="0" fillId="37" borderId="34" xfId="0" applyFill="1" applyBorder="1"/>
    <xf numFmtId="0" fontId="62" fillId="37" borderId="37" xfId="0" applyFont="1" applyFill="1" applyBorder="1"/>
    <xf numFmtId="0" fontId="0" fillId="37" borderId="38" xfId="0" applyFill="1" applyBorder="1"/>
    <xf numFmtId="0" fontId="0" fillId="0" borderId="0" xfId="0" applyFill="1" applyBorder="1"/>
    <xf numFmtId="0" fontId="36" fillId="0" borderId="0" xfId="0" applyFont="1" applyFill="1" applyBorder="1"/>
    <xf numFmtId="0" fontId="65" fillId="37" borderId="38" xfId="0" applyFont="1" applyFill="1" applyBorder="1"/>
    <xf numFmtId="0" fontId="65" fillId="37" borderId="84" xfId="0" applyFont="1" applyFill="1" applyBorder="1"/>
    <xf numFmtId="0" fontId="43" fillId="0" borderId="0" xfId="0" applyFont="1" applyFill="1" applyBorder="1" applyAlignment="1">
      <alignment horizontal="center" vertical="center" wrapText="1"/>
    </xf>
    <xf numFmtId="166" fontId="56" fillId="0" borderId="0" xfId="0" applyNumberFormat="1" applyFont="1" applyFill="1" applyBorder="1" applyAlignment="1">
      <alignment horizontal="center" vertical="center" wrapText="1"/>
    </xf>
    <xf numFmtId="0" fontId="0" fillId="0" borderId="0" xfId="0" applyFill="1"/>
    <xf numFmtId="0" fontId="43" fillId="37" borderId="0" xfId="0" applyFont="1" applyFill="1" applyBorder="1" applyAlignment="1">
      <alignment horizontal="left" vertical="center"/>
    </xf>
    <xf numFmtId="0" fontId="43" fillId="37" borderId="0" xfId="0" applyFont="1" applyFill="1" applyBorder="1" applyAlignment="1">
      <alignment horizontal="center" vertical="center" wrapText="1"/>
    </xf>
    <xf numFmtId="0" fontId="43" fillId="35" borderId="0" xfId="0" applyFont="1" applyFill="1" applyBorder="1" applyAlignment="1">
      <alignment horizontal="left" vertical="center"/>
    </xf>
    <xf numFmtId="0" fontId="43" fillId="35" borderId="0" xfId="0" applyFont="1" applyFill="1" applyBorder="1" applyAlignment="1">
      <alignment horizontal="center" vertical="center" wrapText="1"/>
    </xf>
    <xf numFmtId="166" fontId="56" fillId="35" borderId="0" xfId="0" applyNumberFormat="1" applyFont="1" applyFill="1" applyBorder="1" applyAlignment="1">
      <alignment horizontal="center" vertical="center" wrapText="1"/>
    </xf>
    <xf numFmtId="0" fontId="66" fillId="35" borderId="0" xfId="0" applyFont="1" applyFill="1" applyBorder="1" applyAlignment="1">
      <alignment horizontal="center" vertical="center"/>
    </xf>
    <xf numFmtId="0" fontId="0" fillId="35" borderId="0" xfId="0" applyFill="1"/>
    <xf numFmtId="0" fontId="36" fillId="36" borderId="0" xfId="0" applyFont="1" applyFill="1"/>
    <xf numFmtId="0" fontId="45" fillId="25" borderId="64" xfId="0" applyFont="1" applyFill="1" applyBorder="1" applyAlignment="1" applyProtection="1">
      <alignment horizontal="center" vertical="center" wrapText="1"/>
    </xf>
    <xf numFmtId="0" fontId="45" fillId="25" borderId="48" xfId="0" applyFont="1" applyFill="1" applyBorder="1" applyAlignment="1" applyProtection="1">
      <alignment horizontal="center" vertical="center" wrapText="1"/>
    </xf>
    <xf numFmtId="0" fontId="50" fillId="34" borderId="18" xfId="0" applyFont="1" applyFill="1" applyBorder="1" applyAlignment="1" applyProtection="1">
      <alignment horizontal="center" vertical="center" wrapText="1"/>
    </xf>
    <xf numFmtId="0" fontId="50" fillId="34" borderId="13" xfId="0" applyFont="1" applyFill="1" applyBorder="1" applyAlignment="1" applyProtection="1">
      <alignment horizontal="center" vertical="center" wrapText="1"/>
    </xf>
    <xf numFmtId="0" fontId="50" fillId="34" borderId="22" xfId="0" applyFont="1" applyFill="1" applyBorder="1" applyAlignment="1" applyProtection="1">
      <alignment horizontal="center" vertical="center" wrapText="1"/>
    </xf>
    <xf numFmtId="0" fontId="50" fillId="34" borderId="15" xfId="0" applyFont="1" applyFill="1" applyBorder="1" applyAlignment="1" applyProtection="1">
      <alignment horizontal="center" vertical="center" wrapText="1"/>
    </xf>
    <xf numFmtId="0" fontId="24" fillId="25" borderId="72" xfId="0" applyFont="1" applyFill="1" applyBorder="1" applyAlignment="1">
      <alignment horizontal="center" vertical="center" wrapText="1"/>
    </xf>
    <xf numFmtId="166" fontId="28" fillId="24" borderId="18" xfId="0" applyNumberFormat="1" applyFont="1" applyFill="1" applyBorder="1" applyAlignment="1" applyProtection="1">
      <alignment horizontal="right" vertical="top" wrapText="1"/>
    </xf>
    <xf numFmtId="166" fontId="29" fillId="24" borderId="64" xfId="0" applyNumberFormat="1" applyFont="1" applyFill="1" applyBorder="1" applyAlignment="1">
      <alignment horizontal="right" vertical="top" wrapText="1"/>
    </xf>
    <xf numFmtId="166" fontId="29" fillId="24" borderId="13" xfId="0" applyNumberFormat="1" applyFont="1" applyFill="1" applyBorder="1" applyAlignment="1">
      <alignment horizontal="right" vertical="top" wrapText="1"/>
    </xf>
    <xf numFmtId="166" fontId="28" fillId="24" borderId="13" xfId="0" applyNumberFormat="1" applyFont="1" applyFill="1" applyBorder="1" applyAlignment="1">
      <alignment horizontal="right" vertical="top" wrapText="1"/>
    </xf>
    <xf numFmtId="166" fontId="29" fillId="24" borderId="23" xfId="0" applyNumberFormat="1" applyFont="1" applyFill="1" applyBorder="1" applyAlignment="1" applyProtection="1">
      <alignment horizontal="right" vertical="top" wrapText="1"/>
    </xf>
    <xf numFmtId="166" fontId="29" fillId="24" borderId="24" xfId="0" applyNumberFormat="1" applyFont="1" applyFill="1" applyBorder="1" applyAlignment="1">
      <alignment horizontal="right" vertical="top" wrapText="1"/>
    </xf>
    <xf numFmtId="166" fontId="29" fillId="24" borderId="89" xfId="0" applyNumberFormat="1" applyFont="1" applyFill="1" applyBorder="1" applyAlignment="1">
      <alignment horizontal="right" vertical="top" wrapText="1"/>
    </xf>
    <xf numFmtId="166" fontId="29" fillId="24" borderId="90" xfId="0" applyNumberFormat="1" applyFont="1" applyFill="1" applyBorder="1" applyAlignment="1">
      <alignment horizontal="right" vertical="top" wrapText="1"/>
    </xf>
    <xf numFmtId="166" fontId="29" fillId="24" borderId="52" xfId="0" applyNumberFormat="1" applyFont="1" applyFill="1" applyBorder="1" applyAlignment="1" applyProtection="1">
      <alignment horizontal="right" vertical="top" wrapText="1"/>
    </xf>
    <xf numFmtId="166" fontId="29" fillId="24" borderId="91" xfId="0" applyNumberFormat="1" applyFont="1" applyFill="1" applyBorder="1" applyAlignment="1">
      <alignment horizontal="right" vertical="top" wrapText="1"/>
    </xf>
    <xf numFmtId="166" fontId="29" fillId="38" borderId="59" xfId="0" applyNumberFormat="1" applyFont="1" applyFill="1" applyBorder="1" applyAlignment="1">
      <alignment horizontal="right" vertical="top" wrapText="1"/>
    </xf>
    <xf numFmtId="166" fontId="29" fillId="38" borderId="18" xfId="0" applyNumberFormat="1" applyFont="1" applyFill="1" applyBorder="1" applyAlignment="1" applyProtection="1">
      <alignment horizontal="right" vertical="top" wrapText="1"/>
    </xf>
    <xf numFmtId="166" fontId="28" fillId="38" borderId="18" xfId="0" applyNumberFormat="1" applyFont="1" applyFill="1" applyBorder="1" applyAlignment="1" applyProtection="1">
      <alignment horizontal="right" vertical="top" wrapText="1"/>
    </xf>
    <xf numFmtId="166" fontId="29" fillId="38" borderId="23" xfId="0" applyNumberFormat="1" applyFont="1" applyFill="1" applyBorder="1" applyAlignment="1" applyProtection="1">
      <alignment horizontal="right" vertical="top" wrapText="1"/>
    </xf>
    <xf numFmtId="166" fontId="29" fillId="38" borderId="52" xfId="0" applyNumberFormat="1" applyFont="1" applyFill="1" applyBorder="1" applyAlignment="1" applyProtection="1">
      <alignment horizontal="right" vertical="top" wrapText="1"/>
    </xf>
    <xf numFmtId="166" fontId="29" fillId="38" borderId="89" xfId="0" applyNumberFormat="1" applyFont="1" applyFill="1" applyBorder="1" applyAlignment="1">
      <alignment horizontal="right" vertical="top" wrapText="1"/>
    </xf>
    <xf numFmtId="0" fontId="24" fillId="38" borderId="67" xfId="0" applyFont="1" applyFill="1" applyBorder="1" applyAlignment="1">
      <alignment horizontal="center" vertical="center" wrapText="1"/>
    </xf>
    <xf numFmtId="0" fontId="24" fillId="38" borderId="62" xfId="0" applyFont="1" applyFill="1" applyBorder="1" applyAlignment="1">
      <alignment horizontal="center" vertical="center" wrapText="1"/>
    </xf>
    <xf numFmtId="0" fontId="2" fillId="25" borderId="58" xfId="0" applyFont="1" applyFill="1" applyBorder="1" applyAlignment="1">
      <alignment horizontal="center" vertical="center" wrapText="1"/>
    </xf>
    <xf numFmtId="0" fontId="0" fillId="38" borderId="16" xfId="0" applyFill="1" applyBorder="1" applyAlignment="1">
      <alignment horizontal="center"/>
    </xf>
    <xf numFmtId="0" fontId="2" fillId="25" borderId="16" xfId="0" applyFont="1" applyFill="1" applyBorder="1" applyAlignment="1">
      <alignment horizontal="center" vertical="center" wrapText="1"/>
    </xf>
    <xf numFmtId="0" fontId="43" fillId="25" borderId="47" xfId="0" applyFont="1" applyFill="1" applyBorder="1" applyAlignment="1">
      <alignment horizontal="center" vertical="center" wrapText="1"/>
    </xf>
    <xf numFmtId="0" fontId="36" fillId="38" borderId="29" xfId="0" applyFont="1" applyFill="1" applyBorder="1" applyAlignment="1">
      <alignment horizontal="center"/>
    </xf>
    <xf numFmtId="3" fontId="45" fillId="38" borderId="18" xfId="0" applyNumberFormat="1" applyFont="1" applyFill="1" applyBorder="1" applyProtection="1"/>
    <xf numFmtId="4" fontId="45" fillId="38" borderId="18" xfId="0" applyNumberFormat="1" applyFont="1" applyFill="1" applyBorder="1" applyProtection="1"/>
    <xf numFmtId="0" fontId="24" fillId="25" borderId="18" xfId="0" applyFont="1" applyFill="1" applyBorder="1" applyAlignment="1" applyProtection="1">
      <alignment horizontal="center" vertical="center" wrapText="1"/>
    </xf>
    <xf numFmtId="0" fontId="36" fillId="38" borderId="18" xfId="0" applyFont="1" applyFill="1" applyBorder="1" applyAlignment="1">
      <alignment horizontal="center"/>
    </xf>
    <xf numFmtId="0" fontId="24" fillId="25" borderId="49" xfId="0" applyFont="1" applyFill="1" applyBorder="1" applyAlignment="1" applyProtection="1">
      <alignment horizontal="center" vertical="center" wrapText="1"/>
    </xf>
    <xf numFmtId="0" fontId="36" fillId="38" borderId="52" xfId="0" applyFont="1" applyFill="1" applyBorder="1" applyAlignment="1">
      <alignment horizontal="center"/>
    </xf>
    <xf numFmtId="0" fontId="24" fillId="25" borderId="52" xfId="0" applyFont="1" applyFill="1" applyBorder="1" applyAlignment="1" applyProtection="1">
      <alignment horizontal="center" vertical="center" wrapText="1"/>
    </xf>
    <xf numFmtId="0" fontId="36" fillId="38" borderId="91" xfId="0" applyFont="1" applyFill="1" applyBorder="1" applyAlignment="1">
      <alignment horizontal="center"/>
    </xf>
    <xf numFmtId="166" fontId="28" fillId="24" borderId="63" xfId="0" applyNumberFormat="1" applyFont="1" applyFill="1" applyBorder="1" applyAlignment="1" applyProtection="1">
      <alignment horizontal="right" vertical="top" wrapText="1"/>
    </xf>
    <xf numFmtId="166" fontId="28" fillId="24" borderId="88" xfId="0" applyNumberFormat="1" applyFont="1" applyFill="1" applyBorder="1" applyAlignment="1" applyProtection="1">
      <alignment horizontal="right" vertical="top" wrapText="1"/>
    </xf>
    <xf numFmtId="166" fontId="28" fillId="24" borderId="92" xfId="0" applyNumberFormat="1" applyFont="1" applyFill="1" applyBorder="1" applyAlignment="1" applyProtection="1">
      <alignment horizontal="right" vertical="top" wrapText="1"/>
    </xf>
    <xf numFmtId="166" fontId="29" fillId="24" borderId="49" xfId="0" applyNumberFormat="1" applyFont="1" applyFill="1" applyBorder="1" applyAlignment="1" applyProtection="1">
      <alignment horizontal="right" vertical="top" wrapText="1"/>
    </xf>
    <xf numFmtId="166" fontId="29" fillId="24" borderId="91" xfId="0" applyNumberFormat="1" applyFont="1" applyFill="1" applyBorder="1" applyAlignment="1" applyProtection="1">
      <alignment horizontal="right" vertical="top" wrapText="1"/>
    </xf>
    <xf numFmtId="166" fontId="28" fillId="38" borderId="13" xfId="0" applyNumberFormat="1" applyFont="1" applyFill="1" applyBorder="1" applyAlignment="1" applyProtection="1">
      <alignment horizontal="right" vertical="top" wrapText="1"/>
    </xf>
    <xf numFmtId="166" fontId="28" fillId="38" borderId="24" xfId="0" applyNumberFormat="1" applyFont="1" applyFill="1" applyBorder="1" applyAlignment="1" applyProtection="1">
      <alignment horizontal="right" vertical="top" wrapText="1"/>
    </xf>
    <xf numFmtId="166" fontId="28" fillId="38" borderId="30" xfId="0" applyNumberFormat="1" applyFont="1" applyFill="1" applyBorder="1" applyAlignment="1" applyProtection="1">
      <alignment horizontal="right" vertical="top" wrapText="1"/>
    </xf>
    <xf numFmtId="0" fontId="24" fillId="25" borderId="46" xfId="0" applyFont="1" applyFill="1" applyBorder="1" applyAlignment="1" applyProtection="1">
      <alignment horizontal="center" vertical="center" wrapText="1"/>
    </xf>
    <xf numFmtId="0" fontId="36" fillId="38" borderId="13" xfId="0" applyFont="1" applyFill="1" applyBorder="1" applyAlignment="1">
      <alignment horizontal="center"/>
    </xf>
    <xf numFmtId="166" fontId="28" fillId="24" borderId="18" xfId="0" applyNumberFormat="1" applyFont="1" applyFill="1" applyBorder="1" applyAlignment="1" applyProtection="1">
      <alignment horizontal="right" vertical="center" wrapText="1"/>
    </xf>
    <xf numFmtId="166" fontId="29" fillId="24" borderId="46" xfId="0" applyNumberFormat="1" applyFont="1" applyFill="1" applyBorder="1" applyAlignment="1" applyProtection="1">
      <alignment horizontal="right" vertical="top" wrapText="1"/>
    </xf>
    <xf numFmtId="166" fontId="28" fillId="33" borderId="22" xfId="0" applyNumberFormat="1" applyFont="1" applyFill="1" applyBorder="1" applyAlignment="1" applyProtection="1">
      <alignment horizontal="right" vertical="center" wrapText="1"/>
    </xf>
    <xf numFmtId="166" fontId="29" fillId="24" borderId="22" xfId="0" applyNumberFormat="1" applyFont="1" applyFill="1" applyBorder="1" applyAlignment="1" applyProtection="1">
      <alignment horizontal="right" vertical="center" wrapText="1"/>
    </xf>
    <xf numFmtId="4" fontId="28" fillId="38" borderId="18" xfId="0" applyNumberFormat="1" applyFont="1" applyFill="1" applyBorder="1"/>
    <xf numFmtId="166" fontId="28" fillId="38" borderId="13" xfId="0" applyNumberFormat="1" applyFont="1" applyFill="1" applyBorder="1"/>
    <xf numFmtId="166" fontId="28" fillId="38" borderId="18" xfId="0" applyNumberFormat="1" applyFont="1" applyFill="1" applyBorder="1"/>
    <xf numFmtId="166" fontId="28" fillId="24" borderId="46" xfId="0" applyNumberFormat="1" applyFont="1" applyFill="1" applyBorder="1" applyAlignment="1" applyProtection="1">
      <alignment horizontal="right" vertical="center" wrapText="1"/>
    </xf>
    <xf numFmtId="166" fontId="28" fillId="24" borderId="18" xfId="0" applyNumberFormat="1" applyFont="1" applyFill="1" applyBorder="1" applyAlignment="1" applyProtection="1">
      <alignment vertical="center" wrapText="1"/>
    </xf>
    <xf numFmtId="166" fontId="28" fillId="24" borderId="48" xfId="0" applyNumberFormat="1" applyFont="1" applyFill="1" applyBorder="1" applyAlignment="1" applyProtection="1">
      <alignment horizontal="right" vertical="center" wrapText="1"/>
    </xf>
    <xf numFmtId="166" fontId="28" fillId="38" borderId="22" xfId="0" applyNumberFormat="1" applyFont="1" applyFill="1" applyBorder="1"/>
    <xf numFmtId="166" fontId="28" fillId="24" borderId="22" xfId="0" applyNumberFormat="1" applyFont="1" applyFill="1" applyBorder="1" applyAlignment="1" applyProtection="1">
      <alignment horizontal="right" vertical="center" wrapText="1"/>
    </xf>
    <xf numFmtId="166" fontId="28" fillId="24" borderId="22" xfId="0" applyNumberFormat="1" applyFont="1" applyFill="1" applyBorder="1" applyAlignment="1" applyProtection="1">
      <alignment vertical="center" wrapText="1"/>
    </xf>
    <xf numFmtId="166" fontId="28" fillId="38" borderId="15" xfId="0" applyNumberFormat="1" applyFont="1" applyFill="1" applyBorder="1"/>
    <xf numFmtId="0" fontId="28" fillId="38" borderId="18" xfId="0" applyFont="1" applyFill="1" applyBorder="1" applyAlignment="1">
      <alignment horizontal="center"/>
    </xf>
    <xf numFmtId="0" fontId="28" fillId="38" borderId="13" xfId="0" applyFont="1" applyFill="1" applyBorder="1" applyAlignment="1">
      <alignment horizontal="center"/>
    </xf>
    <xf numFmtId="166" fontId="29" fillId="24" borderId="48" xfId="0" applyNumberFormat="1" applyFont="1" applyFill="1" applyBorder="1" applyAlignment="1" applyProtection="1">
      <alignment vertical="center" wrapText="1"/>
    </xf>
    <xf numFmtId="166" fontId="29" fillId="38" borderId="22" xfId="0" applyNumberFormat="1" applyFont="1" applyFill="1" applyBorder="1" applyAlignment="1" applyProtection="1">
      <alignment vertical="center" wrapText="1"/>
    </xf>
    <xf numFmtId="166" fontId="29" fillId="38" borderId="15" xfId="0" applyNumberFormat="1" applyFont="1" applyFill="1" applyBorder="1" applyAlignment="1" applyProtection="1">
      <alignment vertical="center" wrapText="1"/>
    </xf>
    <xf numFmtId="4" fontId="28" fillId="38" borderId="40" xfId="0" applyNumberFormat="1" applyFont="1" applyFill="1" applyBorder="1"/>
    <xf numFmtId="4" fontId="28" fillId="38" borderId="60" xfId="0" applyNumberFormat="1" applyFont="1" applyFill="1" applyBorder="1"/>
    <xf numFmtId="0" fontId="28" fillId="33" borderId="18" xfId="0" applyFont="1" applyFill="1" applyBorder="1"/>
    <xf numFmtId="0" fontId="28" fillId="38" borderId="18" xfId="0" applyFont="1" applyFill="1" applyBorder="1"/>
    <xf numFmtId="2" fontId="28" fillId="33" borderId="18" xfId="0" applyNumberFormat="1" applyFont="1" applyFill="1" applyBorder="1"/>
    <xf numFmtId="2" fontId="28" fillId="38" borderId="18" xfId="0" applyNumberFormat="1" applyFont="1" applyFill="1" applyBorder="1"/>
    <xf numFmtId="166" fontId="28" fillId="24" borderId="41" xfId="0" applyNumberFormat="1" applyFont="1" applyFill="1" applyBorder="1" applyAlignment="1" applyProtection="1">
      <alignment vertical="center" wrapText="1"/>
    </xf>
    <xf numFmtId="166" fontId="28" fillId="38" borderId="40" xfId="0" applyNumberFormat="1" applyFont="1" applyFill="1" applyBorder="1"/>
    <xf numFmtId="166" fontId="28" fillId="24" borderId="12" xfId="0" applyNumberFormat="1" applyFont="1" applyFill="1" applyBorder="1" applyAlignment="1" applyProtection="1">
      <alignment vertical="center" wrapText="1"/>
    </xf>
    <xf numFmtId="166" fontId="28" fillId="24" borderId="61" xfId="0" applyNumberFormat="1" applyFont="1" applyFill="1" applyBorder="1" applyAlignment="1" applyProtection="1">
      <alignment vertical="center" wrapText="1"/>
    </xf>
    <xf numFmtId="166" fontId="50" fillId="39" borderId="12" xfId="0" applyNumberFormat="1" applyFont="1" applyFill="1" applyBorder="1" applyAlignment="1">
      <alignment horizontal="center" vertical="center" wrapText="1"/>
    </xf>
    <xf numFmtId="166" fontId="28" fillId="38" borderId="18" xfId="0" applyNumberFormat="1" applyFont="1" applyFill="1" applyBorder="1" applyAlignment="1">
      <alignment horizontal="center"/>
    </xf>
    <xf numFmtId="166" fontId="28" fillId="24" borderId="40" xfId="0" applyNumberFormat="1" applyFont="1" applyFill="1" applyBorder="1" applyAlignment="1" applyProtection="1">
      <alignment vertical="center" wrapText="1"/>
    </xf>
    <xf numFmtId="166" fontId="28" fillId="24" borderId="23" xfId="0" applyNumberFormat="1" applyFont="1" applyFill="1" applyBorder="1" applyAlignment="1" applyProtection="1">
      <alignment vertical="center" wrapText="1"/>
    </xf>
    <xf numFmtId="166" fontId="50" fillId="39" borderId="18" xfId="0" applyNumberFormat="1" applyFont="1" applyFill="1" applyBorder="1" applyAlignment="1">
      <alignment horizontal="center" vertical="center" wrapText="1"/>
    </xf>
    <xf numFmtId="0" fontId="0" fillId="40" borderId="18" xfId="0" applyFill="1" applyBorder="1"/>
    <xf numFmtId="0" fontId="42" fillId="40" borderId="18" xfId="0" applyFont="1" applyFill="1" applyBorder="1"/>
    <xf numFmtId="0" fontId="42" fillId="34" borderId="18" xfId="0" applyFont="1" applyFill="1" applyBorder="1" applyAlignment="1">
      <alignment horizontal="right" vertical="top"/>
    </xf>
    <xf numFmtId="0" fontId="42" fillId="34" borderId="18" xfId="0" applyFont="1" applyFill="1" applyBorder="1"/>
    <xf numFmtId="0" fontId="36" fillId="34" borderId="18" xfId="0" applyFont="1" applyFill="1" applyBorder="1" applyAlignment="1">
      <alignment horizontal="right" vertical="top"/>
    </xf>
    <xf numFmtId="1" fontId="0" fillId="34" borderId="18" xfId="0" applyNumberFormat="1" applyFill="1" applyBorder="1"/>
    <xf numFmtId="9" fontId="59" fillId="34" borderId="18" xfId="36" applyFont="1" applyFill="1" applyBorder="1"/>
    <xf numFmtId="0" fontId="45" fillId="25" borderId="37" xfId="0" applyFont="1" applyFill="1" applyBorder="1" applyAlignment="1" applyProtection="1">
      <alignment horizontal="center" vertical="center" wrapText="1"/>
    </xf>
    <xf numFmtId="0" fontId="45" fillId="25" borderId="84" xfId="0" applyFont="1" applyFill="1" applyBorder="1" applyAlignment="1" applyProtection="1">
      <alignment horizontal="center" vertical="center" wrapText="1"/>
    </xf>
    <xf numFmtId="0" fontId="42" fillId="0" borderId="0" xfId="0" applyFont="1"/>
    <xf numFmtId="0" fontId="36" fillId="29" borderId="18" xfId="0" applyFont="1" applyFill="1" applyBorder="1"/>
    <xf numFmtId="166" fontId="0" fillId="34" borderId="18" xfId="0" applyNumberFormat="1" applyFill="1" applyBorder="1"/>
    <xf numFmtId="166" fontId="29" fillId="38" borderId="52" xfId="0" applyNumberFormat="1" applyFont="1" applyFill="1" applyBorder="1" applyAlignment="1">
      <alignment horizontal="right" vertical="top" wrapText="1"/>
    </xf>
    <xf numFmtId="0" fontId="0" fillId="34" borderId="84" xfId="0" applyFill="1" applyBorder="1"/>
    <xf numFmtId="166" fontId="0" fillId="0" borderId="38" xfId="0" applyNumberFormat="1" applyBorder="1"/>
    <xf numFmtId="0" fontId="42" fillId="34" borderId="18" xfId="0" applyFont="1" applyFill="1" applyBorder="1" applyAlignment="1">
      <alignment horizontal="center" vertical="center"/>
    </xf>
    <xf numFmtId="0" fontId="36" fillId="0" borderId="0" xfId="0" applyFont="1" applyBorder="1" applyAlignment="1"/>
    <xf numFmtId="0" fontId="1" fillId="0" borderId="0" xfId="0" applyFont="1" applyBorder="1" applyAlignment="1" applyProtection="1"/>
    <xf numFmtId="0" fontId="36" fillId="0" borderId="0" xfId="0" applyFont="1" applyBorder="1" applyAlignment="1" applyProtection="1"/>
    <xf numFmtId="0" fontId="53" fillId="0" borderId="0" xfId="0" applyFont="1" applyBorder="1" applyAlignment="1" applyProtection="1"/>
    <xf numFmtId="0" fontId="0" fillId="0" borderId="63" xfId="0" applyBorder="1" applyAlignment="1"/>
    <xf numFmtId="0" fontId="36" fillId="38" borderId="12" xfId="0" applyFont="1" applyFill="1" applyBorder="1" applyAlignment="1">
      <alignment horizontal="center"/>
    </xf>
    <xf numFmtId="0" fontId="45" fillId="25" borderId="93" xfId="0" applyFont="1" applyFill="1" applyBorder="1" applyAlignment="1" applyProtection="1">
      <alignment horizontal="center" vertical="center" wrapText="1"/>
    </xf>
    <xf numFmtId="0" fontId="0" fillId="38" borderId="14" xfId="0" applyFill="1" applyBorder="1" applyAlignment="1">
      <alignment horizontal="center"/>
    </xf>
    <xf numFmtId="0" fontId="0" fillId="0" borderId="46" xfId="0" applyFill="1" applyBorder="1"/>
    <xf numFmtId="0" fontId="0" fillId="0" borderId="18" xfId="0" applyFill="1" applyBorder="1"/>
    <xf numFmtId="0" fontId="0" fillId="0" borderId="13" xfId="0" applyFill="1" applyBorder="1"/>
    <xf numFmtId="0" fontId="0" fillId="34" borderId="46" xfId="0" applyFill="1" applyBorder="1"/>
    <xf numFmtId="0" fontId="0" fillId="34" borderId="13" xfId="0" applyFill="1" applyBorder="1"/>
    <xf numFmtId="0" fontId="36" fillId="0" borderId="18" xfId="0" applyFont="1" applyFill="1" applyBorder="1"/>
    <xf numFmtId="0" fontId="42" fillId="41" borderId="18" xfId="0" applyFont="1" applyFill="1" applyBorder="1"/>
    <xf numFmtId="0" fontId="36" fillId="41" borderId="59" xfId="0" applyFont="1" applyFill="1" applyBorder="1"/>
    <xf numFmtId="0" fontId="42" fillId="41" borderId="64" xfId="0" applyFont="1" applyFill="1" applyBorder="1"/>
    <xf numFmtId="0" fontId="62" fillId="0" borderId="0" xfId="0" applyFont="1" applyFill="1"/>
    <xf numFmtId="0" fontId="62" fillId="0" borderId="0" xfId="0" applyFont="1" applyAlignment="1">
      <alignment horizontal="center"/>
    </xf>
    <xf numFmtId="0" fontId="0" fillId="35" borderId="18" xfId="0" applyFill="1" applyBorder="1"/>
    <xf numFmtId="0" fontId="62" fillId="37" borderId="18" xfId="0" applyFont="1" applyFill="1" applyBorder="1"/>
    <xf numFmtId="0" fontId="42" fillId="29" borderId="18" xfId="0" applyFont="1" applyFill="1" applyBorder="1"/>
    <xf numFmtId="0" fontId="42" fillId="30" borderId="18" xfId="0" applyFont="1" applyFill="1" applyBorder="1"/>
    <xf numFmtId="0" fontId="42" fillId="42" borderId="18" xfId="0" applyFont="1" applyFill="1" applyBorder="1"/>
    <xf numFmtId="0" fontId="36" fillId="34" borderId="12" xfId="0" applyFont="1" applyFill="1" applyBorder="1"/>
    <xf numFmtId="0" fontId="36" fillId="34" borderId="94" xfId="0" applyFont="1" applyFill="1" applyBorder="1"/>
    <xf numFmtId="0" fontId="36" fillId="34" borderId="47" xfId="0" applyFont="1" applyFill="1" applyBorder="1"/>
    <xf numFmtId="0" fontId="0" fillId="29" borderId="18" xfId="0" applyFill="1" applyBorder="1"/>
    <xf numFmtId="0" fontId="36" fillId="43" borderId="12" xfId="0" applyFont="1" applyFill="1" applyBorder="1" applyAlignment="1">
      <alignment horizontal="left"/>
    </xf>
    <xf numFmtId="0" fontId="36" fillId="43" borderId="94" xfId="0" applyFont="1" applyFill="1" applyBorder="1" applyAlignment="1">
      <alignment horizontal="left"/>
    </xf>
    <xf numFmtId="0" fontId="36" fillId="43" borderId="47" xfId="0" applyFont="1" applyFill="1" applyBorder="1" applyAlignment="1">
      <alignment horizontal="left"/>
    </xf>
    <xf numFmtId="0" fontId="0" fillId="37" borderId="0" xfId="0" applyFill="1"/>
    <xf numFmtId="0" fontId="0" fillId="44" borderId="0" xfId="0" applyFill="1"/>
    <xf numFmtId="166" fontId="29" fillId="33" borderId="22" xfId="0" applyNumberFormat="1" applyFont="1" applyFill="1" applyBorder="1" applyAlignment="1" applyProtection="1">
      <alignment vertical="center" wrapText="1"/>
    </xf>
    <xf numFmtId="166" fontId="29" fillId="40" borderId="52" xfId="0" applyNumberFormat="1" applyFont="1" applyFill="1" applyBorder="1" applyAlignment="1">
      <alignment horizontal="right" vertical="top" wrapText="1"/>
    </xf>
    <xf numFmtId="166" fontId="29" fillId="40" borderId="91" xfId="0" applyNumberFormat="1" applyFont="1" applyFill="1" applyBorder="1" applyAlignment="1">
      <alignment horizontal="right" vertical="top" wrapText="1"/>
    </xf>
    <xf numFmtId="0" fontId="0" fillId="0" borderId="0" xfId="0" applyNumberFormat="1"/>
    <xf numFmtId="14" fontId="0" fillId="0" borderId="0" xfId="0" applyNumberFormat="1"/>
    <xf numFmtId="0" fontId="62" fillId="34" borderId="37" xfId="0" applyFont="1" applyFill="1" applyBorder="1"/>
    <xf numFmtId="0" fontId="62" fillId="34" borderId="38" xfId="0" applyFont="1" applyFill="1" applyBorder="1"/>
    <xf numFmtId="9" fontId="62" fillId="34" borderId="84" xfId="36" applyFont="1" applyFill="1" applyBorder="1" applyAlignment="1">
      <alignment horizontal="center"/>
    </xf>
    <xf numFmtId="0" fontId="0" fillId="34" borderId="38" xfId="0" applyFill="1" applyBorder="1"/>
    <xf numFmtId="0" fontId="62" fillId="34" borderId="84" xfId="0" applyFont="1" applyFill="1" applyBorder="1" applyAlignment="1">
      <alignment horizontal="center"/>
    </xf>
    <xf numFmtId="0" fontId="42" fillId="34" borderId="0" xfId="0" applyFont="1" applyFill="1"/>
    <xf numFmtId="0" fontId="0" fillId="34" borderId="0" xfId="0" applyFill="1"/>
    <xf numFmtId="0" fontId="0" fillId="34" borderId="18" xfId="0" applyFill="1" applyBorder="1"/>
    <xf numFmtId="0" fontId="0" fillId="42" borderId="18" xfId="0" applyFill="1" applyBorder="1" applyAlignment="1">
      <alignment horizontal="center" vertical="center"/>
    </xf>
    <xf numFmtId="0" fontId="0" fillId="42" borderId="13" xfId="0" applyFill="1" applyBorder="1" applyAlignment="1">
      <alignment horizontal="center" vertical="center"/>
    </xf>
    <xf numFmtId="9" fontId="59" fillId="42" borderId="18" xfId="36" applyFont="1" applyFill="1" applyBorder="1" applyAlignment="1">
      <alignment horizontal="center" vertical="center"/>
    </xf>
    <xf numFmtId="9" fontId="59" fillId="42" borderId="13" xfId="36" applyFont="1" applyFill="1" applyBorder="1" applyAlignment="1">
      <alignment horizontal="center" vertical="center"/>
    </xf>
    <xf numFmtId="9" fontId="59" fillId="42" borderId="22" xfId="36" applyFont="1" applyFill="1" applyBorder="1" applyAlignment="1">
      <alignment horizontal="center" vertical="center"/>
    </xf>
    <xf numFmtId="9" fontId="59" fillId="42" borderId="15" xfId="36" applyFont="1" applyFill="1" applyBorder="1" applyAlignment="1">
      <alignment horizontal="center" vertical="center"/>
    </xf>
    <xf numFmtId="0" fontId="42" fillId="42" borderId="18" xfId="0" applyFont="1" applyFill="1" applyBorder="1"/>
    <xf numFmtId="0" fontId="0" fillId="34" borderId="18" xfId="0" applyFill="1" applyBorder="1"/>
    <xf numFmtId="0" fontId="42" fillId="29" borderId="18" xfId="0" applyFont="1" applyFill="1" applyBorder="1"/>
    <xf numFmtId="0" fontId="42" fillId="30" borderId="18" xfId="0" applyFont="1" applyFill="1" applyBorder="1"/>
    <xf numFmtId="0" fontId="36" fillId="0" borderId="0" xfId="0" applyFont="1" applyBorder="1" applyAlignment="1" applyProtection="1">
      <alignment horizontal="justify" vertical="top" wrapText="1"/>
    </xf>
    <xf numFmtId="0" fontId="36" fillId="0" borderId="0" xfId="0" applyFont="1" applyProtection="1"/>
    <xf numFmtId="0" fontId="29" fillId="25" borderId="60" xfId="0" applyFont="1" applyFill="1" applyBorder="1" applyAlignment="1" applyProtection="1">
      <alignment horizontal="center" vertical="center" wrapText="1"/>
    </xf>
    <xf numFmtId="0" fontId="29" fillId="25" borderId="23" xfId="0" applyFont="1" applyFill="1" applyBorder="1" applyAlignment="1" applyProtection="1">
      <alignment horizontal="center" vertical="center" wrapText="1"/>
    </xf>
    <xf numFmtId="0" fontId="22" fillId="25" borderId="38" xfId="0" applyFont="1" applyFill="1" applyBorder="1" applyAlignment="1" applyProtection="1">
      <alignment horizontal="left" vertical="center"/>
    </xf>
    <xf numFmtId="0" fontId="42" fillId="42" borderId="18" xfId="0" applyFont="1" applyFill="1" applyBorder="1" applyAlignment="1">
      <alignment horizontal="right" vertical="top"/>
    </xf>
    <xf numFmtId="0" fontId="36" fillId="42" borderId="18" xfId="0" applyFont="1" applyFill="1" applyBorder="1" applyAlignment="1">
      <alignment horizontal="right" vertical="top"/>
    </xf>
    <xf numFmtId="0" fontId="0" fillId="42" borderId="18" xfId="0" applyFill="1" applyBorder="1"/>
    <xf numFmtId="0" fontId="0" fillId="42" borderId="46" xfId="0" applyFill="1" applyBorder="1"/>
    <xf numFmtId="0" fontId="0" fillId="42" borderId="13" xfId="0" applyFill="1" applyBorder="1"/>
    <xf numFmtId="166" fontId="29" fillId="39" borderId="52" xfId="0" applyNumberFormat="1" applyFont="1" applyFill="1" applyBorder="1" applyAlignment="1">
      <alignment horizontal="right" vertical="top" wrapText="1"/>
    </xf>
    <xf numFmtId="9" fontId="59" fillId="39" borderId="39" xfId="36" applyFont="1" applyFill="1" applyBorder="1"/>
    <xf numFmtId="0" fontId="0" fillId="39" borderId="84" xfId="0" applyFill="1" applyBorder="1"/>
    <xf numFmtId="0" fontId="62" fillId="34" borderId="84" xfId="0" applyFont="1" applyFill="1" applyBorder="1"/>
    <xf numFmtId="10" fontId="0" fillId="37" borderId="18" xfId="0" applyNumberFormat="1" applyFill="1" applyBorder="1" applyAlignment="1" applyProtection="1">
      <alignment vertical="top"/>
      <protection locked="0"/>
    </xf>
    <xf numFmtId="0" fontId="0" fillId="35" borderId="18" xfId="0" applyFill="1" applyBorder="1" applyProtection="1">
      <protection locked="0"/>
    </xf>
    <xf numFmtId="0" fontId="0" fillId="37" borderId="18" xfId="0" applyFill="1" applyBorder="1" applyProtection="1">
      <protection locked="0"/>
    </xf>
    <xf numFmtId="0" fontId="36" fillId="37" borderId="18" xfId="0" applyFont="1" applyFill="1" applyBorder="1" applyProtection="1">
      <protection locked="0"/>
    </xf>
    <xf numFmtId="0" fontId="62" fillId="34" borderId="37" xfId="0" applyFont="1" applyFill="1" applyBorder="1" applyAlignment="1">
      <alignment horizontal="right"/>
    </xf>
    <xf numFmtId="0" fontId="62" fillId="34" borderId="38" xfId="0" applyFont="1" applyFill="1" applyBorder="1" applyAlignment="1">
      <alignment horizontal="right"/>
    </xf>
    <xf numFmtId="0" fontId="0" fillId="34" borderId="48" xfId="0" applyFill="1" applyBorder="1"/>
    <xf numFmtId="0" fontId="0" fillId="34" borderId="22" xfId="0" applyFill="1" applyBorder="1"/>
    <xf numFmtId="0" fontId="0" fillId="34" borderId="15" xfId="0" applyFill="1" applyBorder="1"/>
    <xf numFmtId="0" fontId="0" fillId="35" borderId="91" xfId="0" applyFill="1" applyBorder="1" applyProtection="1">
      <protection locked="0"/>
    </xf>
    <xf numFmtId="0" fontId="0" fillId="35" borderId="40" xfId="0" applyFill="1" applyBorder="1" applyProtection="1">
      <protection locked="0"/>
    </xf>
    <xf numFmtId="14" fontId="0" fillId="35" borderId="40" xfId="0" applyNumberFormat="1" applyFill="1" applyBorder="1" applyProtection="1">
      <protection locked="0"/>
    </xf>
    <xf numFmtId="10" fontId="0" fillId="35" borderId="40" xfId="0" applyNumberFormat="1" applyFill="1" applyBorder="1" applyProtection="1">
      <protection locked="0"/>
    </xf>
    <xf numFmtId="0" fontId="0" fillId="35" borderId="41" xfId="0" applyFill="1" applyBorder="1" applyProtection="1">
      <protection locked="0"/>
    </xf>
    <xf numFmtId="14" fontId="0" fillId="35" borderId="18" xfId="0" applyNumberFormat="1" applyFill="1" applyBorder="1" applyProtection="1">
      <protection locked="0"/>
    </xf>
    <xf numFmtId="10" fontId="0" fillId="35" borderId="18" xfId="0" applyNumberFormat="1" applyFill="1" applyBorder="1" applyProtection="1">
      <protection locked="0"/>
    </xf>
    <xf numFmtId="0" fontId="0" fillId="35" borderId="12" xfId="0" applyFill="1" applyBorder="1" applyProtection="1">
      <protection locked="0"/>
    </xf>
    <xf numFmtId="0" fontId="0" fillId="35" borderId="23" xfId="0" applyFill="1" applyBorder="1" applyProtection="1">
      <protection locked="0"/>
    </xf>
    <xf numFmtId="14" fontId="0" fillId="35" borderId="23" xfId="0" applyNumberFormat="1" applyFill="1" applyBorder="1" applyProtection="1">
      <protection locked="0"/>
    </xf>
    <xf numFmtId="10" fontId="0" fillId="35" borderId="23" xfId="0" applyNumberFormat="1" applyFill="1" applyBorder="1" applyProtection="1">
      <protection locked="0"/>
    </xf>
    <xf numFmtId="0" fontId="0" fillId="35" borderId="61" xfId="0" applyFill="1" applyBorder="1" applyProtection="1">
      <protection locked="0"/>
    </xf>
    <xf numFmtId="10" fontId="0" fillId="35" borderId="28" xfId="0" applyNumberFormat="1" applyFill="1" applyBorder="1" applyProtection="1">
      <protection locked="0"/>
    </xf>
    <xf numFmtId="10" fontId="0" fillId="35" borderId="47" xfId="0" applyNumberFormat="1" applyFill="1" applyBorder="1" applyProtection="1">
      <protection locked="0"/>
    </xf>
    <xf numFmtId="10" fontId="0" fillId="35" borderId="34" xfId="0" applyNumberFormat="1" applyFill="1" applyBorder="1" applyProtection="1">
      <protection locked="0"/>
    </xf>
    <xf numFmtId="10" fontId="0" fillId="35" borderId="42" xfId="0" applyNumberFormat="1" applyFill="1" applyBorder="1" applyProtection="1">
      <protection locked="0"/>
    </xf>
    <xf numFmtId="10" fontId="0" fillId="35" borderId="64" xfId="0" applyNumberFormat="1" applyFill="1" applyBorder="1" applyProtection="1">
      <protection locked="0"/>
    </xf>
    <xf numFmtId="10" fontId="0" fillId="35" borderId="46" xfId="0" applyNumberFormat="1" applyFill="1" applyBorder="1" applyProtection="1">
      <protection locked="0"/>
    </xf>
    <xf numFmtId="10" fontId="0" fillId="35" borderId="13" xfId="0" applyNumberFormat="1" applyFill="1" applyBorder="1" applyProtection="1">
      <protection locked="0"/>
    </xf>
    <xf numFmtId="10" fontId="0" fillId="35" borderId="48" xfId="0" applyNumberFormat="1" applyFill="1" applyBorder="1" applyProtection="1">
      <protection locked="0"/>
    </xf>
    <xf numFmtId="10" fontId="0" fillId="35" borderId="15" xfId="0" applyNumberFormat="1" applyFill="1" applyBorder="1" applyProtection="1">
      <protection locked="0"/>
    </xf>
    <xf numFmtId="4" fontId="28" fillId="35" borderId="40" xfId="0" applyNumberFormat="1" applyFont="1" applyFill="1" applyBorder="1" applyProtection="1">
      <protection locked="0"/>
    </xf>
    <xf numFmtId="4" fontId="28" fillId="35" borderId="18" xfId="0" applyNumberFormat="1" applyFont="1" applyFill="1" applyBorder="1" applyProtection="1">
      <protection locked="0"/>
    </xf>
    <xf numFmtId="4" fontId="28" fillId="35" borderId="23" xfId="0" applyNumberFormat="1" applyFont="1" applyFill="1" applyBorder="1" applyProtection="1">
      <protection locked="0"/>
    </xf>
    <xf numFmtId="0" fontId="0" fillId="35" borderId="30" xfId="0" applyFill="1" applyBorder="1" applyProtection="1">
      <protection locked="0"/>
    </xf>
    <xf numFmtId="4" fontId="28" fillId="35" borderId="46" xfId="0" applyNumberFormat="1" applyFont="1" applyFill="1" applyBorder="1" applyProtection="1">
      <protection locked="0"/>
    </xf>
    <xf numFmtId="0" fontId="0" fillId="35" borderId="13" xfId="0" applyFill="1" applyBorder="1" applyProtection="1">
      <protection locked="0"/>
    </xf>
    <xf numFmtId="0" fontId="0" fillId="35" borderId="64" xfId="0" applyFill="1" applyBorder="1" applyProtection="1">
      <protection locked="0"/>
    </xf>
    <xf numFmtId="0" fontId="0" fillId="35" borderId="15" xfId="0" applyFill="1" applyBorder="1" applyProtection="1">
      <protection locked="0"/>
    </xf>
    <xf numFmtId="0" fontId="62" fillId="0" borderId="18" xfId="0" applyFont="1" applyFill="1" applyBorder="1" applyAlignment="1">
      <alignment horizontal="center"/>
    </xf>
    <xf numFmtId="0" fontId="42" fillId="37" borderId="0" xfId="0" applyFont="1" applyFill="1" applyAlignment="1">
      <alignment horizontal="center"/>
    </xf>
    <xf numFmtId="0" fontId="62" fillId="37" borderId="37" xfId="0" applyFont="1" applyFill="1" applyBorder="1" applyAlignment="1">
      <alignment horizontal="center"/>
    </xf>
    <xf numFmtId="0" fontId="62" fillId="37" borderId="38" xfId="0" applyFont="1" applyFill="1" applyBorder="1" applyAlignment="1">
      <alignment horizontal="center"/>
    </xf>
    <xf numFmtId="0" fontId="62" fillId="37" borderId="84" xfId="0" applyFont="1" applyFill="1" applyBorder="1" applyAlignment="1">
      <alignment horizontal="center"/>
    </xf>
    <xf numFmtId="0" fontId="62" fillId="0" borderId="12" xfId="0" applyFont="1" applyFill="1" applyBorder="1" applyAlignment="1">
      <alignment horizontal="center"/>
    </xf>
    <xf numFmtId="0" fontId="62" fillId="0" borderId="47" xfId="0" applyFont="1" applyFill="1" applyBorder="1" applyAlignment="1">
      <alignment horizontal="center"/>
    </xf>
    <xf numFmtId="0" fontId="0" fillId="34" borderId="18" xfId="0" applyFill="1" applyBorder="1" applyAlignment="1">
      <alignment horizontal="left" vertical="center"/>
    </xf>
    <xf numFmtId="0" fontId="42" fillId="40" borderId="12" xfId="0" applyFont="1" applyFill="1" applyBorder="1"/>
    <xf numFmtId="0" fontId="42" fillId="40" borderId="94" xfId="0" applyFont="1" applyFill="1" applyBorder="1"/>
    <xf numFmtId="0" fontId="42" fillId="40" borderId="47" xfId="0" applyFont="1" applyFill="1" applyBorder="1"/>
    <xf numFmtId="14" fontId="36" fillId="37" borderId="12" xfId="0" applyNumberFormat="1" applyFont="1" applyFill="1" applyBorder="1" applyAlignment="1" applyProtection="1">
      <alignment horizontal="center" vertical="top"/>
      <protection locked="0"/>
    </xf>
    <xf numFmtId="14" fontId="0" fillId="37" borderId="94" xfId="0" applyNumberFormat="1" applyFill="1" applyBorder="1" applyAlignment="1" applyProtection="1">
      <alignment horizontal="center" vertical="top"/>
      <protection locked="0"/>
    </xf>
    <xf numFmtId="0" fontId="0" fillId="42" borderId="44" xfId="0" applyFill="1" applyBorder="1" applyAlignment="1">
      <alignment horizontal="center" vertical="center"/>
    </xf>
    <xf numFmtId="0" fontId="0" fillId="42" borderId="98" xfId="0" applyFill="1" applyBorder="1" applyAlignment="1">
      <alignment horizontal="center" vertical="center"/>
    </xf>
    <xf numFmtId="0" fontId="0" fillId="42" borderId="87" xfId="0" applyFill="1" applyBorder="1" applyAlignment="1">
      <alignment horizontal="center" vertical="center"/>
    </xf>
    <xf numFmtId="0" fontId="24" fillId="25" borderId="37" xfId="0" applyFont="1" applyFill="1" applyBorder="1" applyAlignment="1">
      <alignment vertical="center" wrapText="1"/>
    </xf>
    <xf numFmtId="0" fontId="24" fillId="25" borderId="38" xfId="0" applyFont="1" applyFill="1" applyBorder="1" applyAlignment="1">
      <alignment vertical="center" wrapText="1"/>
    </xf>
    <xf numFmtId="0" fontId="24" fillId="25" borderId="99" xfId="0" applyFont="1" applyFill="1" applyBorder="1" applyAlignment="1">
      <alignment vertical="center" wrapText="1"/>
    </xf>
    <xf numFmtId="0" fontId="42" fillId="40" borderId="18" xfId="0" applyFont="1" applyFill="1" applyBorder="1" applyAlignment="1">
      <alignment horizontal="center" vertical="center" wrapText="1"/>
    </xf>
    <xf numFmtId="0" fontId="42" fillId="40" borderId="18" xfId="0" applyFont="1" applyFill="1" applyBorder="1" applyAlignment="1">
      <alignment horizontal="center" vertical="center"/>
    </xf>
    <xf numFmtId="0" fontId="24" fillId="25" borderId="37"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0" fillId="0" borderId="18" xfId="0" applyBorder="1"/>
    <xf numFmtId="0" fontId="0" fillId="35" borderId="18" xfId="0" applyFill="1" applyBorder="1" applyProtection="1">
      <protection locked="0"/>
    </xf>
    <xf numFmtId="0" fontId="42" fillId="25" borderId="62" xfId="0" applyFont="1" applyFill="1" applyBorder="1" applyAlignment="1" applyProtection="1">
      <alignment horizontal="center" vertical="center" wrapText="1"/>
    </xf>
    <xf numFmtId="0" fontId="42" fillId="25" borderId="67" xfId="0" applyFont="1" applyFill="1" applyBorder="1" applyAlignment="1" applyProtection="1">
      <alignment horizontal="center" vertical="center" wrapText="1"/>
    </xf>
    <xf numFmtId="0" fontId="42" fillId="25" borderId="63" xfId="0" applyFont="1" applyFill="1" applyBorder="1" applyAlignment="1" applyProtection="1">
      <alignment horizontal="center" vertical="center" wrapText="1"/>
    </xf>
    <xf numFmtId="0" fontId="42" fillId="25" borderId="0" xfId="0" applyFont="1" applyFill="1" applyBorder="1" applyAlignment="1" applyProtection="1">
      <alignment horizontal="center" vertical="center" wrapText="1"/>
    </xf>
    <xf numFmtId="0" fontId="42" fillId="25" borderId="77" xfId="0" applyFont="1" applyFill="1" applyBorder="1" applyAlignment="1" applyProtection="1">
      <alignment horizontal="center" vertical="center" wrapText="1"/>
    </xf>
    <xf numFmtId="0" fontId="42" fillId="25" borderId="16" xfId="0" applyFont="1" applyFill="1" applyBorder="1" applyAlignment="1" applyProtection="1">
      <alignment horizontal="center" vertical="center" wrapText="1"/>
    </xf>
    <xf numFmtId="0" fontId="24" fillId="25" borderId="42" xfId="0" applyFont="1" applyFill="1" applyBorder="1" applyAlignment="1">
      <alignment horizontal="left" vertical="center" wrapText="1"/>
    </xf>
    <xf numFmtId="0" fontId="24" fillId="25" borderId="44" xfId="0" applyFont="1" applyFill="1" applyBorder="1" applyAlignment="1">
      <alignment horizontal="left" vertical="center" wrapText="1"/>
    </xf>
    <xf numFmtId="0" fontId="24" fillId="25" borderId="46" xfId="0" applyFont="1" applyFill="1" applyBorder="1" applyAlignment="1">
      <alignment horizontal="left" vertical="center" wrapText="1"/>
    </xf>
    <xf numFmtId="0" fontId="24" fillId="25" borderId="12" xfId="0" applyFont="1" applyFill="1" applyBorder="1" applyAlignment="1">
      <alignment horizontal="left" vertical="center" wrapText="1"/>
    </xf>
    <xf numFmtId="0" fontId="24" fillId="25" borderId="48"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43" fillId="35" borderId="62" xfId="0" applyFont="1" applyFill="1" applyBorder="1" applyAlignment="1" applyProtection="1">
      <alignment horizontal="left" vertical="top"/>
      <protection locked="0"/>
    </xf>
    <xf numFmtId="0" fontId="43" fillId="35" borderId="67" xfId="0" applyFont="1" applyFill="1" applyBorder="1" applyAlignment="1" applyProtection="1">
      <alignment horizontal="left" vertical="top"/>
      <protection locked="0"/>
    </xf>
    <xf numFmtId="0" fontId="43" fillId="35" borderId="72" xfId="0" applyFont="1" applyFill="1" applyBorder="1" applyAlignment="1" applyProtection="1">
      <alignment horizontal="left" vertical="top"/>
      <protection locked="0"/>
    </xf>
    <xf numFmtId="0" fontId="43" fillId="35" borderId="63" xfId="0" applyFont="1" applyFill="1" applyBorder="1" applyAlignment="1" applyProtection="1">
      <alignment horizontal="left" vertical="top"/>
      <protection locked="0"/>
    </xf>
    <xf numFmtId="0" fontId="43" fillId="35" borderId="0" xfId="0" applyFont="1" applyFill="1" applyBorder="1" applyAlignment="1" applyProtection="1">
      <alignment horizontal="left" vertical="top"/>
      <protection locked="0"/>
    </xf>
    <xf numFmtId="0" fontId="43" fillId="35" borderId="19" xfId="0" applyFont="1" applyFill="1" applyBorder="1" applyAlignment="1" applyProtection="1">
      <alignment horizontal="left" vertical="top"/>
      <protection locked="0"/>
    </xf>
    <xf numFmtId="0" fontId="43" fillId="35" borderId="77" xfId="0" applyFont="1" applyFill="1" applyBorder="1" applyAlignment="1" applyProtection="1">
      <alignment horizontal="left" vertical="top"/>
      <protection locked="0"/>
    </xf>
    <xf numFmtId="0" fontId="43" fillId="35" borderId="16" xfId="0" applyFont="1" applyFill="1" applyBorder="1" applyAlignment="1" applyProtection="1">
      <alignment horizontal="left" vertical="top"/>
      <protection locked="0"/>
    </xf>
    <xf numFmtId="0" fontId="43" fillId="35" borderId="58" xfId="0" applyFont="1" applyFill="1" applyBorder="1" applyAlignment="1" applyProtection="1">
      <alignment horizontal="left" vertical="top"/>
      <protection locked="0"/>
    </xf>
    <xf numFmtId="0" fontId="36" fillId="34" borderId="12" xfId="0" applyFont="1" applyFill="1" applyBorder="1"/>
    <xf numFmtId="0" fontId="36" fillId="34" borderId="94" xfId="0" applyFont="1" applyFill="1" applyBorder="1"/>
    <xf numFmtId="0" fontId="36" fillId="34" borderId="47" xfId="0" applyFont="1" applyFill="1" applyBorder="1"/>
    <xf numFmtId="0" fontId="0" fillId="35" borderId="46" xfId="0" applyFill="1" applyBorder="1" applyProtection="1">
      <protection locked="0"/>
    </xf>
    <xf numFmtId="0" fontId="27" fillId="25" borderId="42" xfId="0" applyFont="1" applyFill="1" applyBorder="1" applyAlignment="1" applyProtection="1">
      <alignment horizontal="center" vertical="center" wrapText="1"/>
    </xf>
    <xf numFmtId="0" fontId="27" fillId="25" borderId="59" xfId="0" applyFont="1" applyFill="1" applyBorder="1" applyAlignment="1" applyProtection="1">
      <alignment horizontal="center" vertical="center" wrapText="1"/>
    </xf>
    <xf numFmtId="0" fontId="42" fillId="25" borderId="42" xfId="0" applyFont="1" applyFill="1" applyBorder="1" applyAlignment="1" applyProtection="1">
      <alignment horizontal="left" vertical="center" wrapText="1"/>
    </xf>
    <xf numFmtId="0" fontId="42" fillId="25" borderId="44" xfId="0" applyFont="1" applyFill="1" applyBorder="1" applyAlignment="1" applyProtection="1">
      <alignment horizontal="left" vertical="center" wrapText="1"/>
    </xf>
    <xf numFmtId="0" fontId="0" fillId="42" borderId="42" xfId="0" applyFill="1" applyBorder="1" applyAlignment="1">
      <alignment horizontal="center" vertical="center"/>
    </xf>
    <xf numFmtId="0" fontId="0" fillId="42" borderId="59" xfId="0" applyFill="1" applyBorder="1" applyAlignment="1">
      <alignment horizontal="center" vertical="center"/>
    </xf>
    <xf numFmtId="0" fontId="0" fillId="42" borderId="46" xfId="0" applyFill="1" applyBorder="1" applyAlignment="1">
      <alignment horizontal="center" vertical="center"/>
    </xf>
    <xf numFmtId="0" fontId="0" fillId="42" borderId="18" xfId="0" applyFill="1" applyBorder="1" applyAlignment="1">
      <alignment horizontal="center" vertical="center"/>
    </xf>
    <xf numFmtId="0" fontId="0" fillId="42" borderId="18" xfId="0" applyFill="1" applyBorder="1" applyAlignment="1">
      <alignment horizontal="left" vertical="center"/>
    </xf>
    <xf numFmtId="0" fontId="0" fillId="42" borderId="92" xfId="0" applyFill="1" applyBorder="1" applyAlignment="1">
      <alignment horizontal="left" vertical="center"/>
    </xf>
    <xf numFmtId="0" fontId="0" fillId="42" borderId="34" xfId="0" applyFill="1" applyBorder="1" applyAlignment="1">
      <alignment horizontal="left" vertical="center"/>
    </xf>
    <xf numFmtId="0" fontId="0" fillId="42" borderId="63" xfId="0" applyFill="1" applyBorder="1" applyAlignment="1">
      <alignment horizontal="left" vertical="center"/>
    </xf>
    <xf numFmtId="0" fontId="0" fillId="42" borderId="32" xfId="0" applyFill="1" applyBorder="1" applyAlignment="1">
      <alignment horizontal="left" vertical="center"/>
    </xf>
    <xf numFmtId="0" fontId="0" fillId="42" borderId="95" xfId="0" applyFill="1" applyBorder="1" applyAlignment="1">
      <alignment horizontal="left" vertical="center"/>
    </xf>
    <xf numFmtId="0" fontId="0" fillId="42" borderId="28" xfId="0" applyFill="1" applyBorder="1" applyAlignment="1">
      <alignment horizontal="left" vertical="center"/>
    </xf>
    <xf numFmtId="0" fontId="0" fillId="42" borderId="77" xfId="0" applyFill="1" applyBorder="1" applyAlignment="1">
      <alignment horizontal="left" vertical="center"/>
    </xf>
    <xf numFmtId="0" fontId="0" fillId="42" borderId="26" xfId="0" applyFill="1" applyBorder="1" applyAlignment="1">
      <alignment horizontal="left" vertical="center"/>
    </xf>
    <xf numFmtId="0" fontId="24" fillId="25" borderId="49" xfId="0" applyFont="1" applyFill="1" applyBorder="1" applyAlignment="1">
      <alignment horizontal="left" vertical="center" wrapText="1" indent="2"/>
    </xf>
    <xf numFmtId="0" fontId="24" fillId="25" borderId="52" xfId="0" applyFont="1" applyFill="1" applyBorder="1" applyAlignment="1">
      <alignment horizontal="left" vertical="center" wrapText="1" indent="2"/>
    </xf>
    <xf numFmtId="0" fontId="62" fillId="40" borderId="61" xfId="0" applyFont="1" applyFill="1" applyBorder="1" applyAlignment="1">
      <alignment horizontal="center" wrapText="1"/>
    </xf>
    <xf numFmtId="0" fontId="62" fillId="40" borderId="34" xfId="0" applyFont="1" applyFill="1" applyBorder="1" applyAlignment="1">
      <alignment horizontal="center"/>
    </xf>
    <xf numFmtId="0" fontId="62" fillId="40" borderId="41" xfId="0" applyFont="1" applyFill="1" applyBorder="1" applyAlignment="1">
      <alignment horizontal="center"/>
    </xf>
    <xf numFmtId="0" fontId="62" fillId="40" borderId="28" xfId="0" applyFont="1" applyFill="1" applyBorder="1" applyAlignment="1">
      <alignment horizontal="center"/>
    </xf>
    <xf numFmtId="0" fontId="42" fillId="42" borderId="18" xfId="0" applyFont="1" applyFill="1" applyBorder="1"/>
    <xf numFmtId="0" fontId="24" fillId="25" borderId="62" xfId="0" applyFont="1" applyFill="1" applyBorder="1" applyAlignment="1">
      <alignment horizontal="center" vertical="center" wrapText="1"/>
    </xf>
    <xf numFmtId="0" fontId="24" fillId="25" borderId="67" xfId="0" applyFont="1" applyFill="1" applyBorder="1" applyAlignment="1">
      <alignment horizontal="center" vertical="center" wrapText="1"/>
    </xf>
    <xf numFmtId="0" fontId="24" fillId="25" borderId="72" xfId="0" applyFont="1" applyFill="1" applyBorder="1" applyAlignment="1">
      <alignment horizontal="center" vertical="center" wrapText="1"/>
    </xf>
    <xf numFmtId="0" fontId="24" fillId="25" borderId="77"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58" xfId="0" applyFont="1" applyFill="1" applyBorder="1" applyAlignment="1">
      <alignment horizontal="center" vertical="center" wrapText="1"/>
    </xf>
    <xf numFmtId="0" fontId="24" fillId="25" borderId="97" xfId="0" applyFont="1" applyFill="1" applyBorder="1" applyAlignment="1">
      <alignment vertical="center" wrapText="1"/>
    </xf>
    <xf numFmtId="0" fontId="24" fillId="25" borderId="98" xfId="0" applyFont="1" applyFill="1" applyBorder="1" applyAlignment="1">
      <alignment vertical="center" wrapText="1"/>
    </xf>
    <xf numFmtId="0" fontId="24" fillId="25" borderId="43" xfId="0" applyFont="1" applyFill="1" applyBorder="1" applyAlignment="1">
      <alignment vertical="center" wrapText="1"/>
    </xf>
    <xf numFmtId="0" fontId="24" fillId="25" borderId="88" xfId="0" applyFont="1" applyFill="1" applyBorder="1" applyAlignment="1">
      <alignment vertical="center" wrapText="1"/>
    </xf>
    <xf numFmtId="0" fontId="24" fillId="25" borderId="94" xfId="0" applyFont="1" applyFill="1" applyBorder="1" applyAlignment="1">
      <alignment vertical="center" wrapText="1"/>
    </xf>
    <xf numFmtId="0" fontId="24" fillId="25" borderId="47" xfId="0" applyFont="1" applyFill="1" applyBorder="1" applyAlignment="1">
      <alignment vertical="center" wrapText="1"/>
    </xf>
    <xf numFmtId="0" fontId="42" fillId="25" borderId="59" xfId="0" applyFont="1" applyFill="1" applyBorder="1" applyAlignment="1" applyProtection="1">
      <alignment horizontal="center" vertical="center" wrapText="1"/>
    </xf>
    <xf numFmtId="0" fontId="42" fillId="25" borderId="22" xfId="0" applyFont="1" applyFill="1" applyBorder="1" applyAlignment="1" applyProtection="1">
      <alignment horizontal="center" vertical="center" wrapText="1"/>
    </xf>
    <xf numFmtId="0" fontId="24" fillId="25" borderId="86" xfId="0" applyFont="1" applyFill="1" applyBorder="1" applyAlignment="1">
      <alignment vertical="center" wrapText="1"/>
    </xf>
    <xf numFmtId="0" fontId="24" fillId="25" borderId="71" xfId="0" applyFont="1" applyFill="1" applyBorder="1" applyAlignment="1">
      <alignment vertical="center" wrapText="1"/>
    </xf>
    <xf numFmtId="0" fontId="24" fillId="25" borderId="36" xfId="0" applyFont="1" applyFill="1" applyBorder="1" applyAlignment="1">
      <alignment vertical="center" wrapText="1"/>
    </xf>
    <xf numFmtId="0" fontId="23" fillId="25" borderId="88" xfId="0" applyFont="1" applyFill="1" applyBorder="1" applyAlignment="1">
      <alignment vertical="center" wrapText="1"/>
    </xf>
    <xf numFmtId="0" fontId="23" fillId="25" borderId="94" xfId="0" applyFont="1" applyFill="1" applyBorder="1" applyAlignment="1">
      <alignment vertical="center" wrapText="1"/>
    </xf>
    <xf numFmtId="0" fontId="23" fillId="25" borderId="47" xfId="0" applyFont="1" applyFill="1" applyBorder="1" applyAlignment="1">
      <alignment vertical="center" wrapText="1"/>
    </xf>
    <xf numFmtId="0" fontId="42" fillId="25" borderId="64" xfId="0" applyFont="1" applyFill="1" applyBorder="1" applyAlignment="1" applyProtection="1">
      <alignment horizontal="center" vertical="center" wrapText="1"/>
    </xf>
    <xf numFmtId="0" fontId="42" fillId="25" borderId="15" xfId="0" applyFont="1" applyFill="1" applyBorder="1" applyAlignment="1" applyProtection="1">
      <alignment horizontal="center" vertical="center" wrapText="1"/>
    </xf>
    <xf numFmtId="0" fontId="36" fillId="43" borderId="12" xfId="0" applyFont="1" applyFill="1" applyBorder="1" applyAlignment="1">
      <alignment horizontal="left"/>
    </xf>
    <xf numFmtId="0" fontId="36" fillId="43" borderId="94" xfId="0" applyFont="1" applyFill="1" applyBorder="1" applyAlignment="1">
      <alignment horizontal="left"/>
    </xf>
    <xf numFmtId="0" fontId="36" fillId="43" borderId="47" xfId="0" applyFont="1" applyFill="1" applyBorder="1" applyAlignment="1">
      <alignment horizontal="left"/>
    </xf>
    <xf numFmtId="0" fontId="0" fillId="42" borderId="22" xfId="0" applyFill="1" applyBorder="1" applyAlignment="1">
      <alignment horizontal="left" vertical="center"/>
    </xf>
    <xf numFmtId="0" fontId="45" fillId="25" borderId="37" xfId="0" applyFont="1" applyFill="1" applyBorder="1" applyAlignment="1" applyProtection="1">
      <alignment horizontal="center" vertical="center"/>
    </xf>
    <xf numFmtId="0" fontId="45" fillId="25" borderId="38" xfId="0" applyFont="1" applyFill="1" applyBorder="1" applyAlignment="1" applyProtection="1">
      <alignment horizontal="center" vertical="center"/>
    </xf>
    <xf numFmtId="0" fontId="45" fillId="25" borderId="84" xfId="0" applyFont="1" applyFill="1" applyBorder="1" applyAlignment="1" applyProtection="1">
      <alignment horizontal="center" vertical="center"/>
    </xf>
    <xf numFmtId="0" fontId="0" fillId="34" borderId="18" xfId="0" applyFill="1" applyBorder="1" applyAlignment="1">
      <alignment horizontal="left" vertical="top" wrapText="1"/>
    </xf>
    <xf numFmtId="0" fontId="0" fillId="35" borderId="63" xfId="0" applyFill="1" applyBorder="1" applyAlignment="1" applyProtection="1">
      <alignment horizontal="left" vertical="top"/>
      <protection locked="0"/>
    </xf>
    <xf numFmtId="0" fontId="0" fillId="35" borderId="0" xfId="0" applyFill="1" applyBorder="1" applyAlignment="1" applyProtection="1">
      <alignment horizontal="left" vertical="top"/>
      <protection locked="0"/>
    </xf>
    <xf numFmtId="0" fontId="24" fillId="24" borderId="77" xfId="0" applyFont="1" applyFill="1" applyBorder="1" applyAlignment="1" applyProtection="1">
      <alignment horizontal="center" vertical="top" wrapText="1"/>
    </xf>
    <xf numFmtId="0" fontId="24" fillId="24" borderId="16" xfId="0" applyFont="1" applyFill="1" applyBorder="1" applyAlignment="1" applyProtection="1">
      <alignment horizontal="center" vertical="top" wrapText="1"/>
    </xf>
    <xf numFmtId="0" fontId="42" fillId="25" borderId="37" xfId="0" applyFont="1" applyFill="1" applyBorder="1" applyAlignment="1" applyProtection="1">
      <alignment horizontal="center" vertical="center" wrapText="1"/>
    </xf>
    <xf numFmtId="0" fontId="42" fillId="25" borderId="38" xfId="0" applyFont="1" applyFill="1" applyBorder="1" applyAlignment="1" applyProtection="1">
      <alignment horizontal="center" vertical="center" wrapText="1"/>
    </xf>
    <xf numFmtId="0" fontId="0" fillId="35" borderId="12" xfId="0" applyFill="1" applyBorder="1" applyProtection="1">
      <protection locked="0"/>
    </xf>
    <xf numFmtId="0" fontId="0" fillId="33" borderId="25" xfId="0" applyFill="1" applyBorder="1" applyAlignment="1">
      <alignment horizontal="left"/>
    </xf>
    <xf numFmtId="0" fontId="0" fillId="33" borderId="89" xfId="0" applyFill="1" applyBorder="1" applyAlignment="1">
      <alignment horizontal="left"/>
    </xf>
    <xf numFmtId="0" fontId="0" fillId="33" borderId="90" xfId="0" applyFill="1" applyBorder="1" applyAlignment="1">
      <alignment horizontal="left"/>
    </xf>
    <xf numFmtId="0" fontId="0" fillId="0" borderId="0" xfId="0"/>
    <xf numFmtId="0" fontId="42" fillId="25" borderId="46" xfId="0" applyFont="1" applyFill="1" applyBorder="1" applyAlignment="1" applyProtection="1">
      <alignment horizontal="left" vertical="center" wrapText="1"/>
    </xf>
    <xf numFmtId="0" fontId="42" fillId="25" borderId="12" xfId="0" applyFont="1" applyFill="1" applyBorder="1" applyAlignment="1" applyProtection="1">
      <alignment horizontal="left" vertical="center" wrapText="1"/>
    </xf>
    <xf numFmtId="0" fontId="42" fillId="25" borderId="42" xfId="0" applyFont="1" applyFill="1" applyBorder="1" applyAlignment="1" applyProtection="1">
      <alignment horizontal="center" vertical="center" wrapText="1"/>
    </xf>
    <xf numFmtId="0" fontId="0" fillId="35" borderId="47" xfId="0" applyFill="1" applyBorder="1" applyProtection="1">
      <protection locked="0"/>
    </xf>
    <xf numFmtId="0" fontId="45" fillId="25" borderId="59" xfId="0" applyFont="1" applyFill="1" applyBorder="1" applyAlignment="1" applyProtection="1">
      <alignment horizontal="center" vertical="center"/>
    </xf>
    <xf numFmtId="0" fontId="45" fillId="25" borderId="18" xfId="0" applyFont="1" applyFill="1" applyBorder="1" applyAlignment="1" applyProtection="1">
      <alignment horizontal="center" vertical="center"/>
    </xf>
    <xf numFmtId="0" fontId="45" fillId="25" borderId="37" xfId="0" applyFont="1" applyFill="1" applyBorder="1" applyAlignment="1" applyProtection="1">
      <alignment horizontal="right" vertical="center"/>
    </xf>
    <xf numFmtId="0" fontId="45" fillId="25" borderId="38" xfId="0" applyFont="1" applyFill="1" applyBorder="1" applyAlignment="1" applyProtection="1">
      <alignment horizontal="right" vertical="center"/>
    </xf>
    <xf numFmtId="0" fontId="24" fillId="25" borderId="62" xfId="0" applyFont="1" applyFill="1" applyBorder="1" applyAlignment="1" applyProtection="1">
      <alignment horizontal="center" vertical="center" wrapText="1"/>
    </xf>
    <xf numFmtId="0" fontId="24" fillId="25" borderId="72" xfId="0" applyFont="1" applyFill="1" applyBorder="1" applyAlignment="1" applyProtection="1">
      <alignment horizontal="center" vertical="center" wrapText="1"/>
    </xf>
    <xf numFmtId="0" fontId="24" fillId="25" borderId="62" xfId="0" applyFont="1" applyFill="1" applyBorder="1" applyAlignment="1" applyProtection="1">
      <alignment horizontal="center" vertical="top" wrapText="1"/>
    </xf>
    <xf numFmtId="0" fontId="24" fillId="25" borderId="72" xfId="0" applyFont="1" applyFill="1" applyBorder="1" applyAlignment="1" applyProtection="1">
      <alignment horizontal="center" vertical="top" wrapText="1"/>
    </xf>
    <xf numFmtId="0" fontId="42" fillId="0" borderId="12" xfId="0" applyFont="1" applyFill="1" applyBorder="1" applyAlignment="1">
      <alignment vertical="center" wrapText="1"/>
    </xf>
    <xf numFmtId="0" fontId="42" fillId="0" borderId="94" xfId="0" applyFont="1" applyFill="1" applyBorder="1" applyAlignment="1">
      <alignment vertical="center" wrapText="1"/>
    </xf>
    <xf numFmtId="0" fontId="42" fillId="0" borderId="47" xfId="0" applyFont="1" applyFill="1" applyBorder="1" applyAlignment="1">
      <alignment vertical="center" wrapText="1"/>
    </xf>
    <xf numFmtId="0" fontId="0" fillId="29" borderId="12" xfId="0" applyFill="1" applyBorder="1" applyAlignment="1">
      <alignment horizontal="left" vertical="top" wrapText="1"/>
    </xf>
    <xf numFmtId="0" fontId="0" fillId="29" borderId="94" xfId="0" applyFill="1" applyBorder="1" applyAlignment="1">
      <alignment horizontal="left" vertical="top" wrapText="1"/>
    </xf>
    <xf numFmtId="0" fontId="0" fillId="29" borderId="47" xfId="0" applyFill="1" applyBorder="1" applyAlignment="1">
      <alignment horizontal="left" vertical="top" wrapText="1"/>
    </xf>
    <xf numFmtId="0" fontId="0" fillId="35" borderId="12" xfId="0" applyFill="1" applyBorder="1" applyAlignment="1" applyProtection="1">
      <alignment horizontal="left" vertical="top" wrapText="1"/>
      <protection locked="0"/>
    </xf>
    <xf numFmtId="0" fontId="0" fillId="35" borderId="94" xfId="0" applyFill="1" applyBorder="1" applyAlignment="1" applyProtection="1">
      <alignment horizontal="left" vertical="top" wrapText="1"/>
      <protection locked="0"/>
    </xf>
    <xf numFmtId="0" fontId="0" fillId="35" borderId="47" xfId="0" applyFill="1" applyBorder="1" applyAlignment="1" applyProtection="1">
      <alignment horizontal="left" vertical="top" wrapText="1"/>
      <protection locked="0"/>
    </xf>
    <xf numFmtId="0" fontId="0" fillId="30" borderId="12" xfId="0" applyFill="1" applyBorder="1" applyAlignment="1">
      <alignment horizontal="left" vertical="top" wrapText="1"/>
    </xf>
    <xf numFmtId="0" fontId="0" fillId="30" borderId="94" xfId="0" applyFill="1" applyBorder="1" applyAlignment="1">
      <alignment horizontal="left" vertical="top" wrapText="1"/>
    </xf>
    <xf numFmtId="0" fontId="0" fillId="30" borderId="47" xfId="0" applyFill="1" applyBorder="1" applyAlignment="1">
      <alignment horizontal="left" vertical="top" wrapText="1"/>
    </xf>
    <xf numFmtId="0" fontId="0" fillId="34" borderId="12" xfId="0" applyFill="1" applyBorder="1" applyAlignment="1">
      <alignment horizontal="left" vertical="top" wrapText="1"/>
    </xf>
    <xf numFmtId="0" fontId="0" fillId="34" borderId="94" xfId="0" applyFill="1" applyBorder="1" applyAlignment="1">
      <alignment horizontal="left" vertical="top" wrapText="1"/>
    </xf>
    <xf numFmtId="0" fontId="0" fillId="34" borderId="47" xfId="0" applyFill="1" applyBorder="1" applyAlignment="1">
      <alignment horizontal="left" vertical="top" wrapText="1"/>
    </xf>
    <xf numFmtId="0" fontId="0" fillId="35" borderId="66" xfId="0" applyFill="1" applyBorder="1" applyProtection="1">
      <protection locked="0"/>
    </xf>
    <xf numFmtId="0" fontId="0" fillId="35" borderId="40" xfId="0" applyFill="1" applyBorder="1" applyProtection="1">
      <protection locked="0"/>
    </xf>
    <xf numFmtId="0" fontId="0" fillId="35" borderId="48" xfId="0" applyFill="1" applyBorder="1" applyProtection="1">
      <protection locked="0"/>
    </xf>
    <xf numFmtId="0" fontId="0" fillId="35" borderId="22" xfId="0" applyFill="1" applyBorder="1" applyProtection="1">
      <protection locked="0"/>
    </xf>
    <xf numFmtId="0" fontId="24" fillId="24" borderId="37" xfId="0" applyFont="1" applyFill="1" applyBorder="1" applyAlignment="1" applyProtection="1">
      <alignment horizontal="center" vertical="top" wrapText="1"/>
    </xf>
    <xf numFmtId="0" fontId="24" fillId="24" borderId="38" xfId="0" applyFont="1" applyFill="1" applyBorder="1" applyAlignment="1" applyProtection="1">
      <alignment horizontal="center" vertical="top" wrapText="1"/>
    </xf>
    <xf numFmtId="0" fontId="36" fillId="37" borderId="12" xfId="0" applyFont="1" applyFill="1" applyBorder="1" applyAlignment="1" applyProtection="1">
      <alignment horizontal="left" vertical="top" wrapText="1"/>
      <protection locked="0"/>
    </xf>
    <xf numFmtId="0" fontId="36" fillId="37" borderId="94" xfId="0" applyFont="1" applyFill="1" applyBorder="1" applyAlignment="1" applyProtection="1">
      <alignment horizontal="left" vertical="top" wrapText="1"/>
      <protection locked="0"/>
    </xf>
    <xf numFmtId="0" fontId="36" fillId="37" borderId="47" xfId="0" applyFont="1" applyFill="1" applyBorder="1" applyAlignment="1" applyProtection="1">
      <alignment horizontal="left" vertical="top" wrapText="1"/>
      <protection locked="0"/>
    </xf>
    <xf numFmtId="0" fontId="0" fillId="37" borderId="12" xfId="0" applyFill="1" applyBorder="1" applyAlignment="1" applyProtection="1">
      <alignment horizontal="left" vertical="top" wrapText="1"/>
      <protection locked="0"/>
    </xf>
    <xf numFmtId="0" fontId="0" fillId="37" borderId="94" xfId="0" applyFill="1" applyBorder="1" applyAlignment="1" applyProtection="1">
      <alignment horizontal="left" vertical="top" wrapText="1"/>
      <protection locked="0"/>
    </xf>
    <xf numFmtId="0" fontId="0" fillId="37" borderId="47" xfId="0" applyFill="1" applyBorder="1" applyAlignment="1" applyProtection="1">
      <alignment horizontal="left" vertical="top" wrapText="1"/>
      <protection locked="0"/>
    </xf>
    <xf numFmtId="0" fontId="0" fillId="42" borderId="12" xfId="0" applyFill="1" applyBorder="1" applyAlignment="1">
      <alignment horizontal="left" vertical="top" wrapText="1"/>
    </xf>
    <xf numFmtId="0" fontId="0" fillId="42" borderId="94" xfId="0" applyFill="1" applyBorder="1" applyAlignment="1">
      <alignment horizontal="left" vertical="top" wrapText="1"/>
    </xf>
    <xf numFmtId="0" fontId="0" fillId="42" borderId="47" xfId="0" applyFill="1" applyBorder="1" applyAlignment="1">
      <alignment horizontal="left" vertical="top" wrapText="1"/>
    </xf>
    <xf numFmtId="0" fontId="0" fillId="37" borderId="18" xfId="0" applyFill="1" applyBorder="1" applyAlignment="1" applyProtection="1">
      <alignment horizontal="left" vertical="top" wrapText="1"/>
      <protection locked="0"/>
    </xf>
    <xf numFmtId="0" fontId="0" fillId="42" borderId="18" xfId="0" applyFill="1" applyBorder="1" applyAlignment="1">
      <alignment horizontal="left" vertical="top" wrapText="1"/>
    </xf>
    <xf numFmtId="0" fontId="0" fillId="31" borderId="12" xfId="0" applyFill="1" applyBorder="1" applyAlignment="1">
      <alignment horizontal="left" vertical="top" wrapText="1"/>
    </xf>
    <xf numFmtId="0" fontId="0" fillId="31" borderId="94" xfId="0" applyFill="1" applyBorder="1" applyAlignment="1">
      <alignment horizontal="left" vertical="top" wrapText="1"/>
    </xf>
    <xf numFmtId="0" fontId="0" fillId="31" borderId="47" xfId="0" applyFill="1" applyBorder="1" applyAlignment="1">
      <alignment horizontal="left" vertical="top" wrapText="1"/>
    </xf>
    <xf numFmtId="0" fontId="36" fillId="35" borderId="12" xfId="0" applyFont="1" applyFill="1" applyBorder="1" applyAlignment="1" applyProtection="1">
      <alignment horizontal="left" vertical="top" wrapText="1"/>
      <protection locked="0"/>
    </xf>
    <xf numFmtId="0" fontId="36" fillId="35" borderId="94" xfId="0" applyFont="1" applyFill="1" applyBorder="1" applyAlignment="1" applyProtection="1">
      <alignment horizontal="left" vertical="top" wrapText="1"/>
      <protection locked="0"/>
    </xf>
    <xf numFmtId="0" fontId="36" fillId="35" borderId="47" xfId="0" applyFont="1" applyFill="1" applyBorder="1" applyAlignment="1" applyProtection="1">
      <alignment horizontal="left" vertical="top" wrapText="1"/>
      <protection locked="0"/>
    </xf>
    <xf numFmtId="0" fontId="36" fillId="34" borderId="12" xfId="0" applyFont="1" applyFill="1" applyBorder="1" applyAlignment="1">
      <alignment horizontal="left" vertical="top" wrapText="1"/>
    </xf>
    <xf numFmtId="0" fontId="36" fillId="34" borderId="94" xfId="0" applyFont="1" applyFill="1" applyBorder="1" applyAlignment="1">
      <alignment horizontal="left" vertical="top" wrapText="1"/>
    </xf>
    <xf numFmtId="0" fontId="36" fillId="34" borderId="47" xfId="0" applyFont="1" applyFill="1" applyBorder="1" applyAlignment="1">
      <alignment horizontal="left" vertical="top" wrapText="1"/>
    </xf>
    <xf numFmtId="0" fontId="42" fillId="0" borderId="18" xfId="0" applyFont="1" applyFill="1" applyBorder="1" applyAlignment="1">
      <alignment vertical="center" wrapText="1"/>
    </xf>
    <xf numFmtId="0" fontId="0" fillId="29" borderId="18" xfId="0" applyFill="1" applyBorder="1" applyAlignment="1">
      <alignment horizontal="left" vertical="top" wrapText="1"/>
    </xf>
    <xf numFmtId="0" fontId="0" fillId="30" borderId="18" xfId="0" applyFill="1" applyBorder="1" applyAlignment="1">
      <alignment horizontal="left" vertical="top" wrapText="1"/>
    </xf>
    <xf numFmtId="0" fontId="36" fillId="37" borderId="18" xfId="0" applyFont="1" applyFill="1" applyBorder="1" applyAlignment="1" applyProtection="1">
      <alignment horizontal="left" vertical="top" wrapText="1"/>
      <protection locked="0"/>
    </xf>
    <xf numFmtId="0" fontId="0" fillId="31" borderId="18" xfId="0" applyFill="1" applyBorder="1" applyAlignment="1">
      <alignment horizontal="left" vertical="top" wrapText="1"/>
    </xf>
    <xf numFmtId="0" fontId="36" fillId="34" borderId="18" xfId="0" applyFont="1" applyFill="1" applyBorder="1" applyAlignment="1">
      <alignment horizontal="left" vertical="top" wrapText="1"/>
    </xf>
    <xf numFmtId="0" fontId="45" fillId="25" borderId="37" xfId="0" applyFont="1" applyFill="1" applyBorder="1" applyAlignment="1" applyProtection="1">
      <alignment horizontal="center" vertical="center" wrapText="1"/>
    </xf>
    <xf numFmtId="0" fontId="45" fillId="25" borderId="84" xfId="0" applyFont="1" applyFill="1" applyBorder="1" applyAlignment="1" applyProtection="1">
      <alignment horizontal="center" vertical="center" wrapText="1"/>
    </xf>
    <xf numFmtId="0" fontId="45" fillId="25" borderId="89" xfId="0" applyFont="1" applyFill="1" applyBorder="1" applyAlignment="1" applyProtection="1">
      <alignment horizontal="center" vertical="center"/>
    </xf>
    <xf numFmtId="0" fontId="45" fillId="25" borderId="90" xfId="0" applyFont="1" applyFill="1" applyBorder="1" applyAlignment="1" applyProtection="1">
      <alignment horizontal="center" vertical="center"/>
    </xf>
    <xf numFmtId="0" fontId="43" fillId="25" borderId="18" xfId="0" applyFont="1" applyFill="1" applyBorder="1" applyAlignment="1">
      <alignment horizontal="center" vertical="center" wrapText="1"/>
    </xf>
    <xf numFmtId="0" fontId="42" fillId="25" borderId="48" xfId="0" applyFont="1" applyFill="1" applyBorder="1" applyAlignment="1" applyProtection="1">
      <alignment horizontal="center" vertical="center" wrapText="1"/>
    </xf>
    <xf numFmtId="0" fontId="45" fillId="25" borderId="62" xfId="0" applyFont="1" applyFill="1" applyBorder="1" applyAlignment="1" applyProtection="1">
      <alignment horizontal="left" vertical="center"/>
    </xf>
    <xf numFmtId="0" fontId="45" fillId="25" borderId="76" xfId="0" applyFont="1" applyFill="1" applyBorder="1" applyAlignment="1" applyProtection="1">
      <alignment horizontal="left" vertical="center"/>
    </xf>
    <xf numFmtId="0" fontId="45" fillId="25" borderId="95" xfId="0" applyFont="1" applyFill="1" applyBorder="1" applyAlignment="1" applyProtection="1">
      <alignment horizontal="left" vertical="center"/>
    </xf>
    <xf numFmtId="0" fontId="45" fillId="25" borderId="28" xfId="0" applyFont="1" applyFill="1" applyBorder="1" applyAlignment="1" applyProtection="1">
      <alignment horizontal="left" vertical="center"/>
    </xf>
    <xf numFmtId="0" fontId="45" fillId="25" borderId="73" xfId="0" applyFont="1" applyFill="1" applyBorder="1" applyAlignment="1" applyProtection="1">
      <alignment horizontal="center" vertical="center"/>
    </xf>
    <xf numFmtId="0" fontId="45" fillId="25" borderId="40" xfId="0" applyFont="1" applyFill="1" applyBorder="1" applyAlignment="1" applyProtection="1">
      <alignment horizontal="center" vertical="center"/>
    </xf>
    <xf numFmtId="0" fontId="45" fillId="25" borderId="93" xfId="0" applyFont="1" applyFill="1" applyBorder="1" applyAlignment="1" applyProtection="1">
      <alignment horizontal="left" vertical="center"/>
    </xf>
    <xf numFmtId="0" fontId="45" fillId="25" borderId="41" xfId="0" applyFont="1" applyFill="1" applyBorder="1" applyAlignment="1" applyProtection="1">
      <alignment horizontal="left" vertical="center"/>
    </xf>
    <xf numFmtId="0" fontId="14" fillId="16" borderId="18" xfId="37" applyBorder="1"/>
    <xf numFmtId="0" fontId="42" fillId="29" borderId="12" xfId="0" applyFont="1" applyFill="1" applyBorder="1" applyAlignment="1">
      <alignment vertical="center" wrapText="1"/>
    </xf>
    <xf numFmtId="0" fontId="42" fillId="29" borderId="94" xfId="0" applyFont="1" applyFill="1" applyBorder="1" applyAlignment="1">
      <alignment vertical="center" wrapText="1"/>
    </xf>
    <xf numFmtId="0" fontId="42" fillId="29" borderId="47" xfId="0" applyFont="1" applyFill="1" applyBorder="1" applyAlignment="1">
      <alignment vertical="center" wrapText="1"/>
    </xf>
    <xf numFmtId="0" fontId="0" fillId="29" borderId="12" xfId="0" applyFill="1" applyBorder="1" applyAlignment="1">
      <alignment vertical="center" wrapText="1"/>
    </xf>
    <xf numFmtId="0" fontId="0" fillId="29" borderId="94" xfId="0" applyFill="1" applyBorder="1" applyAlignment="1">
      <alignment vertical="center" wrapText="1"/>
    </xf>
    <xf numFmtId="0" fontId="0" fillId="29" borderId="47" xfId="0" applyFill="1" applyBorder="1" applyAlignment="1">
      <alignment vertical="center" wrapText="1"/>
    </xf>
    <xf numFmtId="0" fontId="42" fillId="30" borderId="12" xfId="0" applyFont="1" applyFill="1" applyBorder="1" applyAlignment="1">
      <alignment vertical="center" wrapText="1"/>
    </xf>
    <xf numFmtId="0" fontId="42" fillId="30" borderId="94" xfId="0" applyFont="1" applyFill="1" applyBorder="1" applyAlignment="1">
      <alignment vertical="center" wrapText="1"/>
    </xf>
    <xf numFmtId="0" fontId="42" fillId="30" borderId="47" xfId="0" applyFont="1" applyFill="1" applyBorder="1" applyAlignment="1">
      <alignment vertical="center" wrapText="1"/>
    </xf>
    <xf numFmtId="0" fontId="36" fillId="30" borderId="12" xfId="0" applyFont="1" applyFill="1" applyBorder="1" applyAlignment="1">
      <alignment vertical="center" wrapText="1"/>
    </xf>
    <xf numFmtId="0" fontId="36" fillId="30" borderId="94" xfId="0" applyFont="1" applyFill="1" applyBorder="1" applyAlignment="1">
      <alignment vertical="center" wrapText="1"/>
    </xf>
    <xf numFmtId="0" fontId="36" fillId="30" borderId="47" xfId="0" applyFont="1" applyFill="1" applyBorder="1" applyAlignment="1">
      <alignment vertical="center" wrapText="1"/>
    </xf>
    <xf numFmtId="0" fontId="42" fillId="42" borderId="12" xfId="0" applyFont="1" applyFill="1" applyBorder="1" applyAlignment="1">
      <alignment vertical="center" wrapText="1"/>
    </xf>
    <xf numFmtId="0" fontId="42" fillId="42" borderId="94" xfId="0" applyFont="1" applyFill="1" applyBorder="1" applyAlignment="1">
      <alignment vertical="center" wrapText="1"/>
    </xf>
    <xf numFmtId="0" fontId="42" fillId="42" borderId="47" xfId="0" applyFont="1" applyFill="1" applyBorder="1" applyAlignment="1">
      <alignment vertical="center" wrapText="1"/>
    </xf>
    <xf numFmtId="0" fontId="36" fillId="44" borderId="18" xfId="0" applyFont="1" applyFill="1" applyBorder="1" applyAlignment="1">
      <alignment horizontal="center"/>
    </xf>
    <xf numFmtId="0" fontId="0" fillId="34" borderId="18" xfId="0" applyFill="1" applyBorder="1"/>
    <xf numFmtId="4" fontId="0" fillId="34" borderId="18" xfId="0" applyNumberFormat="1" applyFill="1" applyBorder="1"/>
    <xf numFmtId="14" fontId="0" fillId="47" borderId="18" xfId="0" applyNumberFormat="1" applyFill="1" applyBorder="1"/>
    <xf numFmtId="0" fontId="0" fillId="47" borderId="18" xfId="0" applyFill="1" applyBorder="1"/>
    <xf numFmtId="0" fontId="0" fillId="48" borderId="18" xfId="0" applyFill="1" applyBorder="1"/>
    <xf numFmtId="0" fontId="36" fillId="35" borderId="18" xfId="0" applyFont="1" applyFill="1" applyBorder="1" applyProtection="1">
      <protection locked="0"/>
    </xf>
    <xf numFmtId="14" fontId="0" fillId="37" borderId="18" xfId="0" applyNumberFormat="1" applyFill="1" applyBorder="1" applyProtection="1">
      <protection locked="0"/>
    </xf>
    <xf numFmtId="0" fontId="0" fillId="35" borderId="94" xfId="0" applyFill="1" applyBorder="1" applyProtection="1">
      <protection locked="0"/>
    </xf>
    <xf numFmtId="0" fontId="0" fillId="0" borderId="0" xfId="0" applyProtection="1"/>
    <xf numFmtId="0" fontId="0" fillId="37" borderId="18" xfId="0" applyFill="1" applyBorder="1" applyProtection="1">
      <protection locked="0"/>
    </xf>
    <xf numFmtId="0" fontId="36" fillId="37" borderId="12" xfId="0" applyFont="1" applyFill="1" applyBorder="1" applyProtection="1">
      <protection locked="0"/>
    </xf>
    <xf numFmtId="0" fontId="0" fillId="37" borderId="94" xfId="0" applyFill="1" applyBorder="1" applyProtection="1">
      <protection locked="0"/>
    </xf>
    <xf numFmtId="0" fontId="0" fillId="37" borderId="47" xfId="0" applyFill="1" applyBorder="1" applyProtection="1">
      <protection locked="0"/>
    </xf>
    <xf numFmtId="4" fontId="0" fillId="0" borderId="18" xfId="0" applyNumberFormat="1" applyBorder="1"/>
    <xf numFmtId="0" fontId="36" fillId="31" borderId="12" xfId="0" applyFont="1" applyFill="1" applyBorder="1" applyAlignment="1">
      <alignment vertical="center" wrapText="1"/>
    </xf>
    <xf numFmtId="0" fontId="36" fillId="31" borderId="94" xfId="0" applyFont="1" applyFill="1" applyBorder="1" applyAlignment="1">
      <alignment vertical="center" wrapText="1"/>
    </xf>
    <xf numFmtId="0" fontId="36" fillId="31" borderId="47" xfId="0" applyFont="1" applyFill="1" applyBorder="1" applyAlignment="1">
      <alignment vertical="center" wrapText="1"/>
    </xf>
    <xf numFmtId="0" fontId="49" fillId="25" borderId="75" xfId="0" applyFont="1" applyFill="1" applyBorder="1" applyAlignment="1" applyProtection="1">
      <alignment horizontal="center" wrapText="1"/>
    </xf>
    <xf numFmtId="0" fontId="49" fillId="25" borderId="30" xfId="0" applyFont="1" applyFill="1" applyBorder="1" applyAlignment="1" applyProtection="1">
      <alignment horizontal="center" wrapText="1"/>
    </xf>
    <xf numFmtId="0" fontId="36" fillId="34" borderId="12" xfId="0" applyFont="1" applyFill="1" applyBorder="1" applyAlignment="1">
      <alignment vertical="center" wrapText="1"/>
    </xf>
    <xf numFmtId="0" fontId="36" fillId="34" borderId="94" xfId="0" applyFont="1" applyFill="1" applyBorder="1" applyAlignment="1">
      <alignment vertical="center" wrapText="1"/>
    </xf>
    <xf numFmtId="0" fontId="36" fillId="34" borderId="47" xfId="0" applyFont="1" applyFill="1" applyBorder="1" applyAlignment="1">
      <alignment vertical="center" wrapText="1"/>
    </xf>
    <xf numFmtId="0" fontId="45" fillId="25" borderId="73" xfId="0" applyFont="1" applyFill="1" applyBorder="1" applyAlignment="1" applyProtection="1">
      <alignment horizontal="center" vertical="center" wrapText="1"/>
    </xf>
    <xf numFmtId="0" fontId="45" fillId="25" borderId="40" xfId="0" applyFont="1" applyFill="1" applyBorder="1" applyAlignment="1" applyProtection="1">
      <alignment horizontal="center" vertical="center" wrapText="1"/>
    </xf>
    <xf numFmtId="0" fontId="0" fillId="35" borderId="70" xfId="0" applyFill="1" applyBorder="1" applyAlignment="1" applyProtection="1">
      <alignment horizontal="left" vertical="top" wrapText="1"/>
      <protection locked="0"/>
    </xf>
    <xf numFmtId="0" fontId="0" fillId="35" borderId="34" xfId="0" applyFill="1" applyBorder="1" applyAlignment="1" applyProtection="1">
      <alignment horizontal="left" vertical="top" wrapText="1"/>
      <protection locked="0"/>
    </xf>
    <xf numFmtId="0" fontId="42" fillId="34" borderId="23" xfId="0" applyFont="1" applyFill="1" applyBorder="1"/>
    <xf numFmtId="14" fontId="0" fillId="34" borderId="18" xfId="0" applyNumberFormat="1" applyFill="1" applyBorder="1"/>
    <xf numFmtId="0" fontId="0" fillId="35" borderId="23" xfId="0" applyFill="1" applyBorder="1" applyProtection="1">
      <protection locked="0"/>
    </xf>
    <xf numFmtId="0" fontId="42" fillId="0" borderId="12" xfId="0" applyFont="1" applyBorder="1" applyAlignment="1"/>
    <xf numFmtId="0" fontId="42" fillId="0" borderId="94" xfId="0" applyFont="1" applyBorder="1" applyAlignment="1"/>
    <xf numFmtId="0" fontId="42" fillId="0" borderId="47" xfId="0" applyFont="1" applyBorder="1" applyAlignment="1"/>
    <xf numFmtId="0" fontId="42" fillId="45" borderId="18" xfId="0" applyFont="1" applyFill="1" applyBorder="1"/>
    <xf numFmtId="0" fontId="62" fillId="37" borderId="18" xfId="0" applyFont="1" applyFill="1" applyBorder="1"/>
    <xf numFmtId="0" fontId="42" fillId="46" borderId="18" xfId="0" applyFont="1" applyFill="1" applyBorder="1"/>
    <xf numFmtId="0" fontId="42" fillId="29" borderId="18" xfId="0" applyFont="1" applyFill="1" applyBorder="1"/>
    <xf numFmtId="0" fontId="42" fillId="30" borderId="18" xfId="0" applyFont="1" applyFill="1" applyBorder="1"/>
    <xf numFmtId="0" fontId="42" fillId="0" borderId="0" xfId="0" applyFont="1"/>
    <xf numFmtId="0" fontId="42" fillId="40" borderId="0" xfId="0" applyFont="1" applyFill="1"/>
    <xf numFmtId="0" fontId="14" fillId="44" borderId="18" xfId="37" applyFill="1" applyBorder="1"/>
    <xf numFmtId="0" fontId="42" fillId="32" borderId="12" xfId="0" applyFont="1" applyFill="1" applyBorder="1"/>
    <xf numFmtId="0" fontId="42" fillId="32" borderId="94" xfId="0" applyFont="1" applyFill="1" applyBorder="1"/>
    <xf numFmtId="0" fontId="42" fillId="32" borderId="47" xfId="0" applyFont="1" applyFill="1" applyBorder="1"/>
    <xf numFmtId="0" fontId="23" fillId="25" borderId="46" xfId="0" applyFont="1" applyFill="1" applyBorder="1" applyAlignment="1">
      <alignment horizontal="left" vertical="center" wrapText="1" indent="2"/>
    </xf>
    <xf numFmtId="0" fontId="23" fillId="25" borderId="18" xfId="0" applyFont="1" applyFill="1" applyBorder="1" applyAlignment="1">
      <alignment horizontal="left" vertical="center" wrapText="1" indent="2"/>
    </xf>
    <xf numFmtId="0" fontId="24" fillId="25" borderId="56" xfId="0" applyFont="1" applyFill="1" applyBorder="1" applyAlignment="1">
      <alignment horizontal="left" vertical="center" wrapText="1" indent="2"/>
    </xf>
    <xf numFmtId="0" fontId="24" fillId="25" borderId="23" xfId="0" applyFont="1" applyFill="1" applyBorder="1" applyAlignment="1">
      <alignment horizontal="left" vertical="center" wrapText="1" indent="2"/>
    </xf>
    <xf numFmtId="0" fontId="24" fillId="25" borderId="42" xfId="0" applyFont="1" applyFill="1" applyBorder="1" applyAlignment="1" applyProtection="1">
      <alignment horizontal="center" vertical="center" wrapText="1"/>
    </xf>
    <xf numFmtId="0" fontId="24" fillId="25" borderId="59" xfId="0" applyFont="1" applyFill="1" applyBorder="1" applyAlignment="1" applyProtection="1">
      <alignment horizontal="center" vertical="center" wrapText="1"/>
    </xf>
    <xf numFmtId="0" fontId="24" fillId="25" borderId="44" xfId="0" applyFont="1" applyFill="1" applyBorder="1" applyAlignment="1" applyProtection="1">
      <alignment horizontal="center" vertical="center" wrapText="1"/>
    </xf>
    <xf numFmtId="0" fontId="24" fillId="25" borderId="48" xfId="0" applyFont="1" applyFill="1" applyBorder="1" applyAlignment="1" applyProtection="1">
      <alignment horizontal="center" vertical="center" wrapText="1"/>
    </xf>
    <xf numFmtId="0" fontId="24" fillId="25" borderId="22" xfId="0" applyFont="1" applyFill="1" applyBorder="1" applyAlignment="1" applyProtection="1">
      <alignment horizontal="center" vertical="center" wrapText="1"/>
    </xf>
    <xf numFmtId="0" fontId="24" fillId="25" borderId="14" xfId="0" applyFont="1" applyFill="1" applyBorder="1" applyAlignment="1" applyProtection="1">
      <alignment horizontal="center" vertical="center" wrapText="1"/>
    </xf>
    <xf numFmtId="0" fontId="43" fillId="25" borderId="73" xfId="0" applyFont="1" applyFill="1" applyBorder="1" applyAlignment="1">
      <alignment horizontal="center" vertical="center" wrapText="1"/>
    </xf>
    <xf numFmtId="0" fontId="43" fillId="25" borderId="89" xfId="0" applyFont="1" applyFill="1" applyBorder="1" applyAlignment="1">
      <alignment horizontal="center" vertical="center" wrapText="1"/>
    </xf>
    <xf numFmtId="0" fontId="43" fillId="25" borderId="75" xfId="0" applyFont="1" applyFill="1" applyBorder="1" applyAlignment="1">
      <alignment horizontal="center" vertical="center" wrapText="1"/>
    </xf>
    <xf numFmtId="0" fontId="43" fillId="25" borderId="90" xfId="0" applyFont="1" applyFill="1" applyBorder="1" applyAlignment="1">
      <alignment horizontal="center" vertical="center" wrapText="1"/>
    </xf>
    <xf numFmtId="0" fontId="44" fillId="25" borderId="37" xfId="0" applyFont="1" applyFill="1" applyBorder="1" applyAlignment="1">
      <alignment horizontal="center" vertical="center" wrapText="1"/>
    </xf>
    <xf numFmtId="0" fontId="44" fillId="25" borderId="38" xfId="0" applyFont="1" applyFill="1" applyBorder="1" applyAlignment="1">
      <alignment horizontal="center" vertical="center" wrapText="1"/>
    </xf>
    <xf numFmtId="0" fontId="44" fillId="25" borderId="84" xfId="0" applyFont="1" applyFill="1" applyBorder="1" applyAlignment="1">
      <alignment horizontal="center" vertical="center" wrapText="1"/>
    </xf>
    <xf numFmtId="0" fontId="24" fillId="25" borderId="25" xfId="0" applyFont="1" applyFill="1" applyBorder="1" applyAlignment="1">
      <alignment horizontal="left" vertical="center" wrapText="1" indent="2"/>
    </xf>
    <xf numFmtId="0" fontId="24" fillId="25" borderId="89" xfId="0" applyFont="1" applyFill="1" applyBorder="1" applyAlignment="1">
      <alignment horizontal="left" vertical="center" wrapText="1" indent="2"/>
    </xf>
    <xf numFmtId="0" fontId="24" fillId="25" borderId="38" xfId="0" applyFont="1" applyFill="1" applyBorder="1" applyAlignment="1">
      <alignment horizontal="center" vertical="center" wrapText="1"/>
    </xf>
    <xf numFmtId="0" fontId="24" fillId="25" borderId="63" xfId="0" applyFont="1" applyFill="1" applyBorder="1" applyAlignment="1">
      <alignment horizontal="center" vertical="center" wrapText="1"/>
    </xf>
    <xf numFmtId="0" fontId="24" fillId="25" borderId="0"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42" xfId="0" applyFont="1" applyFill="1" applyBorder="1" applyAlignment="1">
      <alignment horizontal="left" vertical="center" wrapText="1" indent="2"/>
    </xf>
    <xf numFmtId="0" fontId="24" fillId="25" borderId="59" xfId="0" applyFont="1" applyFill="1" applyBorder="1" applyAlignment="1">
      <alignment horizontal="left" vertical="center" wrapText="1" indent="2"/>
    </xf>
    <xf numFmtId="0" fontId="24" fillId="25" borderId="46" xfId="0" applyFont="1" applyFill="1" applyBorder="1" applyAlignment="1">
      <alignment horizontal="left" vertical="center" wrapText="1" indent="2"/>
    </xf>
    <xf numFmtId="0" fontId="24" fillId="25" borderId="18" xfId="0" applyFont="1" applyFill="1" applyBorder="1" applyAlignment="1">
      <alignment horizontal="left" vertical="center" wrapText="1" indent="2"/>
    </xf>
    <xf numFmtId="2" fontId="42" fillId="25" borderId="59" xfId="0" applyNumberFormat="1" applyFont="1" applyFill="1" applyBorder="1" applyAlignment="1" applyProtection="1">
      <alignment horizontal="center" vertical="center" wrapText="1"/>
    </xf>
    <xf numFmtId="2" fontId="42" fillId="25" borderId="64" xfId="0" applyNumberFormat="1" applyFont="1" applyFill="1" applyBorder="1" applyAlignment="1" applyProtection="1">
      <alignment horizontal="center" vertical="center" wrapText="1"/>
    </xf>
    <xf numFmtId="0" fontId="0" fillId="35" borderId="95" xfId="0" applyFill="1" applyBorder="1" applyAlignment="1" applyProtection="1">
      <alignment horizontal="left" vertical="top"/>
      <protection locked="0"/>
    </xf>
    <xf numFmtId="0" fontId="0" fillId="35" borderId="69" xfId="0" applyFill="1" applyBorder="1" applyAlignment="1" applyProtection="1">
      <alignment horizontal="left" vertical="top"/>
      <protection locked="0"/>
    </xf>
    <xf numFmtId="0" fontId="0" fillId="35" borderId="0" xfId="0" applyFill="1" applyAlignment="1" applyProtection="1">
      <alignment horizontal="left" vertical="top"/>
      <protection locked="0"/>
    </xf>
    <xf numFmtId="0" fontId="36" fillId="30" borderId="18" xfId="0" applyFont="1" applyFill="1" applyBorder="1" applyAlignment="1">
      <alignment horizontal="left" vertical="center"/>
    </xf>
    <xf numFmtId="0" fontId="0" fillId="35" borderId="96" xfId="0" applyFill="1" applyBorder="1" applyAlignment="1" applyProtection="1">
      <alignment horizontal="left" vertical="top"/>
      <protection locked="0"/>
    </xf>
    <xf numFmtId="0" fontId="49" fillId="25" borderId="73" xfId="0" applyFont="1" applyFill="1" applyBorder="1" applyAlignment="1" applyProtection="1">
      <alignment horizontal="center" vertical="center" wrapText="1"/>
    </xf>
    <xf numFmtId="0" fontId="49" fillId="25" borderId="40" xfId="0" applyFont="1" applyFill="1" applyBorder="1" applyAlignment="1" applyProtection="1">
      <alignment horizontal="center" vertical="center" wrapText="1"/>
    </xf>
    <xf numFmtId="0" fontId="36" fillId="42" borderId="12" xfId="0" applyFont="1" applyFill="1" applyBorder="1" applyAlignment="1">
      <alignment vertical="center" wrapText="1"/>
    </xf>
    <xf numFmtId="0" fontId="36" fillId="42" borderId="94" xfId="0" applyFont="1" applyFill="1" applyBorder="1" applyAlignment="1">
      <alignment vertical="center" wrapText="1"/>
    </xf>
    <xf numFmtId="0" fontId="36" fillId="42" borderId="47" xfId="0" applyFont="1" applyFill="1" applyBorder="1" applyAlignment="1">
      <alignment vertical="center" wrapText="1"/>
    </xf>
    <xf numFmtId="0" fontId="42" fillId="31" borderId="12" xfId="0" applyFont="1" applyFill="1" applyBorder="1" applyAlignment="1">
      <alignment vertical="center" wrapText="1"/>
    </xf>
    <xf numFmtId="0" fontId="42" fillId="31" borderId="94" xfId="0" applyFont="1" applyFill="1" applyBorder="1" applyAlignment="1">
      <alignment vertical="center" wrapText="1"/>
    </xf>
    <xf numFmtId="0" fontId="42" fillId="31" borderId="47" xfId="0" applyFont="1" applyFill="1" applyBorder="1" applyAlignment="1">
      <alignment vertical="center" wrapText="1"/>
    </xf>
    <xf numFmtId="0" fontId="42" fillId="34" borderId="12" xfId="0" applyFont="1" applyFill="1" applyBorder="1" applyAlignment="1">
      <alignment vertical="center" wrapText="1"/>
    </xf>
    <xf numFmtId="0" fontId="42" fillId="34" borderId="94" xfId="0" applyFont="1" applyFill="1" applyBorder="1" applyAlignment="1">
      <alignment vertical="center" wrapText="1"/>
    </xf>
    <xf numFmtId="0" fontId="42" fillId="34" borderId="47" xfId="0" applyFont="1" applyFill="1" applyBorder="1" applyAlignment="1">
      <alignment vertical="center" wrapText="1"/>
    </xf>
    <xf numFmtId="0" fontId="0" fillId="34" borderId="12" xfId="0" applyFill="1" applyBorder="1" applyAlignment="1">
      <alignment vertical="center" wrapText="1"/>
    </xf>
    <xf numFmtId="0" fontId="0" fillId="34" borderId="94" xfId="0" applyFill="1" applyBorder="1" applyAlignment="1">
      <alignment vertical="center" wrapText="1"/>
    </xf>
    <xf numFmtId="0" fontId="0" fillId="34" borderId="47" xfId="0" applyFill="1" applyBorder="1" applyAlignment="1">
      <alignment vertical="center" wrapText="1"/>
    </xf>
    <xf numFmtId="49" fontId="0" fillId="34" borderId="12" xfId="0" applyNumberFormat="1" applyFill="1" applyBorder="1" applyAlignment="1">
      <alignment horizontal="left" vertical="top" wrapText="1"/>
    </xf>
    <xf numFmtId="49" fontId="0" fillId="34" borderId="94" xfId="0" applyNumberFormat="1" applyFill="1" applyBorder="1" applyAlignment="1">
      <alignment horizontal="left" vertical="top" wrapText="1"/>
    </xf>
    <xf numFmtId="49" fontId="0" fillId="34" borderId="70" xfId="0" applyNumberFormat="1" applyFill="1" applyBorder="1" applyAlignment="1">
      <alignment horizontal="left" vertical="top" wrapText="1"/>
    </xf>
    <xf numFmtId="49" fontId="0" fillId="34" borderId="47" xfId="0" applyNumberFormat="1" applyFill="1" applyBorder="1" applyAlignment="1">
      <alignment horizontal="left" vertical="top" wrapText="1"/>
    </xf>
    <xf numFmtId="0" fontId="44" fillId="25" borderId="49" xfId="0" applyFont="1" applyFill="1" applyBorder="1" applyAlignment="1">
      <alignment horizontal="center" vertical="center" wrapText="1"/>
    </xf>
    <xf numFmtId="0" fontId="44" fillId="25" borderId="52" xfId="0" applyFont="1" applyFill="1" applyBorder="1" applyAlignment="1">
      <alignment horizontal="center" vertical="center" wrapText="1"/>
    </xf>
    <xf numFmtId="0" fontId="42" fillId="35" borderId="18" xfId="0" applyFont="1" applyFill="1" applyBorder="1" applyProtection="1"/>
    <xf numFmtId="0" fontId="0" fillId="35" borderId="18" xfId="0" applyFill="1" applyBorder="1" applyProtection="1"/>
    <xf numFmtId="0" fontId="44" fillId="25" borderId="72" xfId="0" applyFont="1" applyFill="1" applyBorder="1" applyAlignment="1">
      <alignment horizontal="center" vertical="center" wrapText="1"/>
    </xf>
    <xf numFmtId="0" fontId="43" fillId="35" borderId="62" xfId="0" applyFont="1" applyFill="1" applyBorder="1" applyAlignment="1" applyProtection="1">
      <alignment horizontal="left" vertical="top" wrapText="1"/>
      <protection locked="0"/>
    </xf>
    <xf numFmtId="0" fontId="43" fillId="35" borderId="67" xfId="0" applyFont="1" applyFill="1" applyBorder="1" applyAlignment="1" applyProtection="1">
      <alignment horizontal="left" vertical="top" wrapText="1"/>
      <protection locked="0"/>
    </xf>
    <xf numFmtId="0" fontId="43" fillId="35" borderId="72" xfId="0" applyFont="1" applyFill="1" applyBorder="1" applyAlignment="1" applyProtection="1">
      <alignment horizontal="left" vertical="top" wrapText="1"/>
      <protection locked="0"/>
    </xf>
    <xf numFmtId="0" fontId="43" fillId="35" borderId="63" xfId="0" applyFont="1" applyFill="1" applyBorder="1" applyAlignment="1" applyProtection="1">
      <alignment horizontal="left" vertical="top" wrapText="1"/>
      <protection locked="0"/>
    </xf>
    <xf numFmtId="0" fontId="43" fillId="35" borderId="0" xfId="0" applyFont="1" applyFill="1" applyBorder="1" applyAlignment="1" applyProtection="1">
      <alignment horizontal="left" vertical="top" wrapText="1"/>
      <protection locked="0"/>
    </xf>
    <xf numFmtId="0" fontId="43" fillId="35" borderId="19" xfId="0" applyFont="1" applyFill="1" applyBorder="1" applyAlignment="1" applyProtection="1">
      <alignment horizontal="left" vertical="top" wrapText="1"/>
      <protection locked="0"/>
    </xf>
    <xf numFmtId="0" fontId="43" fillId="35" borderId="77" xfId="0" applyFont="1" applyFill="1" applyBorder="1" applyAlignment="1" applyProtection="1">
      <alignment horizontal="left" vertical="top" wrapText="1"/>
      <protection locked="0"/>
    </xf>
    <xf numFmtId="0" fontId="43" fillId="35" borderId="16" xfId="0" applyFont="1" applyFill="1" applyBorder="1" applyAlignment="1" applyProtection="1">
      <alignment horizontal="left" vertical="top" wrapText="1"/>
      <protection locked="0"/>
    </xf>
    <xf numFmtId="0" fontId="43" fillId="35" borderId="58" xfId="0" applyFont="1" applyFill="1" applyBorder="1" applyAlignment="1" applyProtection="1">
      <alignment horizontal="left" vertical="top" wrapText="1"/>
      <protection locked="0"/>
    </xf>
    <xf numFmtId="0" fontId="43" fillId="25" borderId="62" xfId="0" applyFont="1" applyFill="1" applyBorder="1" applyAlignment="1">
      <alignment horizontal="center" vertical="center" wrapText="1"/>
    </xf>
    <xf numFmtId="0" fontId="43" fillId="25" borderId="67" xfId="0" applyFont="1" applyFill="1" applyBorder="1" applyAlignment="1">
      <alignment horizontal="center" vertical="center" wrapText="1"/>
    </xf>
    <xf numFmtId="0" fontId="43" fillId="25" borderId="72" xfId="0" applyFont="1" applyFill="1" applyBorder="1" applyAlignment="1">
      <alignment horizontal="center" vertical="center" wrapText="1"/>
    </xf>
    <xf numFmtId="0" fontId="43" fillId="25" borderId="77" xfId="0" applyFont="1" applyFill="1" applyBorder="1" applyAlignment="1">
      <alignment horizontal="center" vertical="center" wrapText="1"/>
    </xf>
    <xf numFmtId="0" fontId="43" fillId="25" borderId="16" xfId="0" applyFont="1" applyFill="1" applyBorder="1" applyAlignment="1">
      <alignment horizontal="center" vertical="center" wrapText="1"/>
    </xf>
    <xf numFmtId="0" fontId="43" fillId="25" borderId="58" xfId="0" applyFont="1" applyFill="1" applyBorder="1" applyAlignment="1">
      <alignment horizontal="center" vertical="center" wrapText="1"/>
    </xf>
    <xf numFmtId="0" fontId="43" fillId="25" borderId="74" xfId="0" applyFont="1" applyFill="1" applyBorder="1" applyAlignment="1">
      <alignment horizontal="center" vertical="center" wrapText="1"/>
    </xf>
    <xf numFmtId="0" fontId="43" fillId="25" borderId="25" xfId="0" applyFont="1" applyFill="1" applyBorder="1" applyAlignment="1">
      <alignment horizontal="center" vertical="center" wrapText="1"/>
    </xf>
    <xf numFmtId="0" fontId="0" fillId="35" borderId="41" xfId="0" applyFill="1" applyBorder="1" applyAlignment="1" applyProtection="1">
      <alignment horizontal="left" vertical="top"/>
      <protection locked="0"/>
    </xf>
    <xf numFmtId="0" fontId="42" fillId="35" borderId="18" xfId="0" applyFont="1" applyFill="1" applyBorder="1"/>
    <xf numFmtId="0" fontId="42" fillId="35" borderId="40" xfId="0" applyFont="1" applyFill="1" applyBorder="1"/>
    <xf numFmtId="0" fontId="24" fillId="25" borderId="64" xfId="0" applyFont="1" applyFill="1" applyBorder="1" applyAlignment="1" applyProtection="1">
      <alignment horizontal="center" vertical="center" wrapText="1"/>
    </xf>
    <xf numFmtId="0" fontId="42" fillId="25" borderId="48" xfId="0" applyFont="1" applyFill="1" applyBorder="1" applyAlignment="1" applyProtection="1">
      <alignment horizontal="left" vertical="center" wrapText="1"/>
    </xf>
    <xf numFmtId="0" fontId="42" fillId="25" borderId="14" xfId="0" applyFont="1" applyFill="1" applyBorder="1" applyAlignment="1" applyProtection="1">
      <alignment horizontal="left" vertical="center" wrapText="1"/>
    </xf>
    <xf numFmtId="0" fontId="29" fillId="25" borderId="77" xfId="0" applyFont="1" applyFill="1" applyBorder="1" applyAlignment="1" applyProtection="1">
      <alignment horizontal="justify" vertical="center" wrapText="1"/>
    </xf>
    <xf numFmtId="0" fontId="29" fillId="25" borderId="16" xfId="0" applyFont="1" applyFill="1" applyBorder="1" applyAlignment="1" applyProtection="1">
      <alignment horizontal="justify" vertical="center" wrapText="1"/>
    </xf>
    <xf numFmtId="0" fontId="29" fillId="25" borderId="26" xfId="0" applyFont="1" applyFill="1" applyBorder="1" applyAlignment="1" applyProtection="1">
      <alignment horizontal="justify" vertical="center" wrapText="1"/>
    </xf>
    <xf numFmtId="0" fontId="29" fillId="0" borderId="85" xfId="0" applyFont="1" applyFill="1" applyBorder="1" applyAlignment="1" applyProtection="1">
      <alignment horizontal="justify" vertical="center" wrapText="1"/>
      <protection locked="0"/>
    </xf>
    <xf numFmtId="0" fontId="29" fillId="0" borderId="16" xfId="0" applyFont="1" applyFill="1" applyBorder="1" applyAlignment="1" applyProtection="1">
      <alignment horizontal="justify" vertical="center" wrapText="1"/>
      <protection locked="0"/>
    </xf>
    <xf numFmtId="0" fontId="29" fillId="0" borderId="58" xfId="0" applyFont="1" applyFill="1" applyBorder="1" applyAlignment="1" applyProtection="1">
      <alignment horizontal="justify" vertical="center" wrapText="1"/>
      <protection locked="0"/>
    </xf>
    <xf numFmtId="0" fontId="29" fillId="25" borderId="95" xfId="0" applyFont="1" applyFill="1" applyBorder="1" applyAlignment="1" applyProtection="1">
      <alignment horizontal="justify" vertical="center" wrapText="1"/>
    </xf>
    <xf numFmtId="0" fontId="29" fillId="25" borderId="69" xfId="0" applyFont="1" applyFill="1" applyBorder="1" applyAlignment="1" applyProtection="1">
      <alignment horizontal="justify" vertical="center" wrapText="1"/>
    </xf>
    <xf numFmtId="0" fontId="29" fillId="25" borderId="28" xfId="0" applyFont="1" applyFill="1" applyBorder="1" applyAlignment="1" applyProtection="1">
      <alignment horizontal="justify" vertical="center" wrapText="1"/>
    </xf>
    <xf numFmtId="0" fontId="29" fillId="0" borderId="41" xfId="0" applyNumberFormat="1" applyFont="1" applyFill="1" applyBorder="1" applyAlignment="1" applyProtection="1">
      <alignment horizontal="justify" vertical="center" wrapText="1"/>
      <protection locked="0"/>
    </xf>
    <xf numFmtId="0" fontId="29" fillId="0" borderId="69" xfId="0" applyNumberFormat="1" applyFont="1" applyFill="1" applyBorder="1" applyAlignment="1" applyProtection="1">
      <alignment horizontal="justify" vertical="center" wrapText="1"/>
      <protection locked="0"/>
    </xf>
    <xf numFmtId="0" fontId="29" fillId="0" borderId="82" xfId="0" applyNumberFormat="1" applyFont="1" applyFill="1" applyBorder="1" applyAlignment="1" applyProtection="1">
      <alignment horizontal="justify" vertical="center" wrapText="1"/>
      <protection locked="0"/>
    </xf>
    <xf numFmtId="0" fontId="22" fillId="0" borderId="52" xfId="0" applyFont="1" applyFill="1" applyBorder="1" applyAlignment="1" applyProtection="1">
      <alignment horizontal="center" vertical="center"/>
      <protection locked="0"/>
    </xf>
    <xf numFmtId="0" fontId="22" fillId="0" borderId="91" xfId="0" applyFont="1" applyFill="1" applyBorder="1" applyAlignment="1" applyProtection="1">
      <alignment horizontal="center" vertical="center"/>
      <protection locked="0"/>
    </xf>
    <xf numFmtId="0" fontId="22" fillId="25" borderId="37" xfId="0" applyFont="1" applyFill="1" applyBorder="1" applyAlignment="1" applyProtection="1">
      <alignment horizontal="center" vertical="center"/>
    </xf>
    <xf numFmtId="0" fontId="22" fillId="25" borderId="38" xfId="0" applyFont="1" applyFill="1" applyBorder="1" applyAlignment="1" applyProtection="1">
      <alignment horizontal="center" vertical="center"/>
    </xf>
    <xf numFmtId="0" fontId="22" fillId="25" borderId="52" xfId="0" applyFont="1" applyFill="1" applyBorder="1" applyAlignment="1" applyProtection="1">
      <alignment horizontal="right" vertical="center"/>
    </xf>
    <xf numFmtId="0" fontId="28" fillId="0" borderId="12" xfId="0" applyFont="1" applyBorder="1" applyAlignment="1" applyProtection="1">
      <alignment horizontal="justify" vertical="center" wrapText="1"/>
      <protection locked="0"/>
    </xf>
    <xf numFmtId="0" fontId="28" fillId="0" borderId="94" xfId="0" applyFont="1" applyBorder="1" applyAlignment="1" applyProtection="1">
      <alignment horizontal="justify" vertical="center" wrapText="1"/>
      <protection locked="0"/>
    </xf>
    <xf numFmtId="0" fontId="28" fillId="0" borderId="47" xfId="0" applyFont="1" applyBorder="1" applyAlignment="1" applyProtection="1">
      <alignment horizontal="justify" vertical="center" wrapText="1"/>
      <protection locked="0"/>
    </xf>
    <xf numFmtId="0" fontId="28" fillId="25" borderId="12" xfId="0" applyFont="1" applyFill="1" applyBorder="1" applyAlignment="1" applyProtection="1">
      <alignment horizontal="justify" vertical="center" wrapText="1"/>
    </xf>
    <xf numFmtId="0" fontId="28" fillId="25" borderId="47" xfId="0" applyFont="1" applyFill="1" applyBorder="1" applyAlignment="1" applyProtection="1">
      <alignment horizontal="justify" vertical="center" wrapText="1"/>
    </xf>
    <xf numFmtId="0" fontId="28" fillId="0" borderId="20" xfId="0" applyFont="1" applyBorder="1" applyAlignment="1" applyProtection="1">
      <alignment horizontal="justify" vertical="center" wrapText="1"/>
      <protection locked="0"/>
    </xf>
    <xf numFmtId="0" fontId="28" fillId="25" borderId="46" xfId="0" applyFont="1" applyFill="1" applyBorder="1" applyAlignment="1" applyProtection="1">
      <alignment horizontal="justify" vertical="center" wrapText="1"/>
    </xf>
    <xf numFmtId="0" fontId="28" fillId="25" borderId="18" xfId="0" applyFont="1" applyFill="1" applyBorder="1" applyAlignment="1" applyProtection="1">
      <alignment horizontal="justify" vertical="center" wrapText="1"/>
    </xf>
    <xf numFmtId="0" fontId="28" fillId="25" borderId="94" xfId="0" applyFont="1" applyFill="1" applyBorder="1" applyAlignment="1" applyProtection="1">
      <alignment horizontal="justify" vertical="center" wrapText="1"/>
    </xf>
    <xf numFmtId="0" fontId="28" fillId="25" borderId="20" xfId="0" applyFont="1" applyFill="1" applyBorder="1" applyAlignment="1" applyProtection="1">
      <alignment horizontal="justify" vertical="center" wrapText="1"/>
    </xf>
    <xf numFmtId="0" fontId="28" fillId="0" borderId="18" xfId="0" applyFont="1" applyBorder="1" applyAlignment="1" applyProtection="1">
      <alignment horizontal="justify" vertical="center" wrapText="1"/>
      <protection locked="0"/>
    </xf>
    <xf numFmtId="167" fontId="28" fillId="0" borderId="18" xfId="0" applyNumberFormat="1" applyFont="1" applyBorder="1" applyAlignment="1" applyProtection="1">
      <alignment horizontal="justify" vertical="center" wrapText="1"/>
      <protection locked="0"/>
    </xf>
    <xf numFmtId="0" fontId="28" fillId="25" borderId="48" xfId="0" applyFont="1" applyFill="1" applyBorder="1" applyAlignment="1" applyProtection="1">
      <alignment horizontal="justify" vertical="center" wrapText="1"/>
    </xf>
    <xf numFmtId="0" fontId="28" fillId="25" borderId="22" xfId="0" applyFont="1" applyFill="1" applyBorder="1" applyAlignment="1" applyProtection="1">
      <alignment horizontal="justify" vertical="center" wrapText="1"/>
    </xf>
    <xf numFmtId="167" fontId="28" fillId="0" borderId="22" xfId="0" applyNumberFormat="1" applyFont="1" applyBorder="1" applyAlignment="1" applyProtection="1">
      <alignment horizontal="justify" vertical="center" wrapText="1"/>
      <protection locked="0"/>
    </xf>
    <xf numFmtId="0" fontId="28" fillId="0" borderId="14" xfId="0" applyFont="1" applyFill="1" applyBorder="1" applyAlignment="1" applyProtection="1">
      <alignment horizontal="justify" vertical="center" wrapText="1"/>
      <protection locked="0"/>
    </xf>
    <xf numFmtId="0" fontId="28" fillId="0" borderId="71" xfId="0" applyFont="1" applyFill="1" applyBorder="1" applyAlignment="1" applyProtection="1">
      <alignment horizontal="justify" vertical="center" wrapText="1"/>
      <protection locked="0"/>
    </xf>
    <xf numFmtId="0" fontId="28" fillId="0" borderId="21" xfId="0" applyFont="1" applyFill="1" applyBorder="1" applyAlignment="1" applyProtection="1">
      <alignment horizontal="justify" vertical="center" wrapText="1"/>
      <protection locked="0"/>
    </xf>
    <xf numFmtId="0" fontId="32" fillId="25" borderId="97" xfId="0" applyFont="1" applyFill="1" applyBorder="1" applyAlignment="1" applyProtection="1">
      <alignment horizontal="justify" vertical="center" wrapText="1"/>
    </xf>
    <xf numFmtId="0" fontId="32" fillId="25" borderId="98" xfId="0" applyFont="1" applyFill="1" applyBorder="1" applyAlignment="1" applyProtection="1">
      <alignment horizontal="justify" vertical="center" wrapText="1"/>
    </xf>
    <xf numFmtId="0" fontId="32" fillId="25" borderId="43" xfId="0" applyFont="1" applyFill="1" applyBorder="1" applyAlignment="1" applyProtection="1">
      <alignment horizontal="justify" vertical="center" wrapText="1"/>
    </xf>
    <xf numFmtId="0" fontId="28" fillId="0" borderId="98" xfId="0" applyFont="1" applyBorder="1" applyAlignment="1" applyProtection="1">
      <alignment horizontal="justify" vertical="center" wrapText="1"/>
      <protection locked="0"/>
    </xf>
    <xf numFmtId="0" fontId="28" fillId="0" borderId="87" xfId="0" applyFont="1" applyBorder="1" applyAlignment="1" applyProtection="1">
      <alignment horizontal="justify" vertical="center" wrapText="1"/>
      <protection locked="0"/>
    </xf>
    <xf numFmtId="0" fontId="29" fillId="25" borderId="86" xfId="0" applyFont="1" applyFill="1" applyBorder="1" applyAlignment="1" applyProtection="1">
      <alignment horizontal="justify" vertical="center" wrapText="1"/>
    </xf>
    <xf numFmtId="0" fontId="28" fillId="25" borderId="71" xfId="0" applyFont="1" applyFill="1" applyBorder="1" applyAlignment="1" applyProtection="1">
      <alignment horizontal="justify" vertical="center" wrapText="1"/>
    </xf>
    <xf numFmtId="0" fontId="28" fillId="25" borderId="36" xfId="0" applyFont="1" applyFill="1" applyBorder="1" applyAlignment="1" applyProtection="1">
      <alignment horizontal="justify" vertical="center" wrapText="1"/>
    </xf>
    <xf numFmtId="0" fontId="28" fillId="25" borderId="14" xfId="0" applyFont="1" applyFill="1" applyBorder="1" applyAlignment="1" applyProtection="1">
      <alignment horizontal="justify" vertical="center" wrapText="1"/>
    </xf>
    <xf numFmtId="0" fontId="28" fillId="0" borderId="14" xfId="0" applyFont="1" applyBorder="1" applyAlignment="1" applyProtection="1">
      <alignment horizontal="justify" vertical="center" wrapText="1"/>
      <protection locked="0"/>
    </xf>
    <xf numFmtId="0" fontId="28" fillId="0" borderId="71" xfId="0" applyFont="1" applyBorder="1" applyAlignment="1" applyProtection="1">
      <alignment horizontal="justify" vertical="center" wrapText="1"/>
      <protection locked="0"/>
    </xf>
    <xf numFmtId="0" fontId="28" fillId="25" borderId="44" xfId="0" applyFont="1" applyFill="1" applyBorder="1" applyAlignment="1" applyProtection="1">
      <alignment horizontal="justify" vertical="center" wrapText="1"/>
    </xf>
    <xf numFmtId="0" fontId="28" fillId="25" borderId="43" xfId="0" applyFont="1" applyFill="1" applyBorder="1" applyAlignment="1" applyProtection="1">
      <alignment horizontal="justify" vertical="center" wrapText="1"/>
    </xf>
    <xf numFmtId="0" fontId="28" fillId="0" borderId="21" xfId="0" applyFont="1" applyBorder="1" applyAlignment="1" applyProtection="1">
      <alignment horizontal="justify" vertical="center" wrapText="1"/>
      <protection locked="0"/>
    </xf>
    <xf numFmtId="0" fontId="28" fillId="25" borderId="88" xfId="0" applyFont="1" applyFill="1" applyBorder="1" applyAlignment="1" applyProtection="1">
      <alignment horizontal="justify" vertical="center" wrapText="1"/>
    </xf>
    <xf numFmtId="0" fontId="28" fillId="25" borderId="92" xfId="0" applyFont="1" applyFill="1" applyBorder="1" applyAlignment="1" applyProtection="1">
      <alignment horizontal="justify" vertical="center" wrapText="1"/>
    </xf>
    <xf numFmtId="0" fontId="28" fillId="25" borderId="70" xfId="0" applyFont="1" applyFill="1" applyBorder="1" applyAlignment="1" applyProtection="1">
      <alignment horizontal="justify" vertical="center" wrapText="1"/>
    </xf>
    <xf numFmtId="0" fontId="32" fillId="25" borderId="95" xfId="0" applyFont="1" applyFill="1" applyBorder="1" applyAlignment="1" applyProtection="1">
      <alignment horizontal="justify" vertical="center" wrapText="1"/>
    </xf>
    <xf numFmtId="0" fontId="32" fillId="25" borderId="69" xfId="0" applyFont="1" applyFill="1" applyBorder="1" applyAlignment="1" applyProtection="1">
      <alignment horizontal="justify" vertical="center" wrapText="1"/>
    </xf>
    <xf numFmtId="0" fontId="32" fillId="25" borderId="82" xfId="0" applyFont="1" applyFill="1" applyBorder="1" applyAlignment="1" applyProtection="1">
      <alignment horizontal="justify" vertical="center" wrapText="1"/>
    </xf>
    <xf numFmtId="0" fontId="1" fillId="25" borderId="94" xfId="0" applyFont="1" applyFill="1" applyBorder="1" applyAlignment="1" applyProtection="1">
      <alignment horizontal="justify" vertical="center" wrapText="1"/>
    </xf>
    <xf numFmtId="0" fontId="28" fillId="0" borderId="52" xfId="0" applyFont="1" applyBorder="1" applyAlignment="1" applyProtection="1">
      <alignment horizontal="justify" vertical="center" wrapText="1"/>
      <protection locked="0"/>
    </xf>
    <xf numFmtId="0" fontId="28" fillId="0" borderId="91" xfId="0" applyFont="1" applyBorder="1" applyAlignment="1" applyProtection="1">
      <alignment horizontal="justify" vertical="center" wrapText="1"/>
      <protection locked="0"/>
    </xf>
    <xf numFmtId="0" fontId="28" fillId="25" borderId="49" xfId="0" applyFont="1" applyFill="1" applyBorder="1" applyAlignment="1" applyProtection="1">
      <alignment horizontal="justify" vertical="center" wrapText="1"/>
    </xf>
    <xf numFmtId="0" fontId="28" fillId="25" borderId="52" xfId="0" applyFont="1" applyFill="1" applyBorder="1" applyAlignment="1" applyProtection="1">
      <alignment horizontal="justify" vertical="center" wrapText="1"/>
    </xf>
    <xf numFmtId="0" fontId="36" fillId="0" borderId="0" xfId="0" applyFont="1" applyBorder="1" applyAlignment="1" applyProtection="1">
      <alignment horizontal="center" vertical="top" wrapText="1"/>
    </xf>
    <xf numFmtId="0" fontId="11" fillId="0" borderId="0" xfId="32" applyBorder="1" applyAlignment="1" applyProtection="1">
      <alignment horizontal="left" vertical="top" wrapText="1"/>
      <protection locked="0"/>
    </xf>
    <xf numFmtId="0" fontId="28" fillId="25" borderId="18" xfId="0" applyFont="1" applyFill="1" applyBorder="1" applyAlignment="1" applyProtection="1">
      <alignment horizontal="left" vertical="center" wrapText="1"/>
    </xf>
    <xf numFmtId="0" fontId="28" fillId="0" borderId="18" xfId="0" applyFont="1" applyBorder="1" applyAlignment="1" applyProtection="1">
      <alignment horizontal="center" vertical="center" wrapText="1"/>
      <protection locked="0"/>
    </xf>
    <xf numFmtId="0" fontId="28" fillId="0" borderId="36" xfId="0" applyFont="1" applyBorder="1" applyAlignment="1" applyProtection="1">
      <alignment horizontal="justify" vertical="center" wrapText="1"/>
      <protection locked="0"/>
    </xf>
    <xf numFmtId="0" fontId="28" fillId="0" borderId="52" xfId="0" applyFont="1" applyFill="1" applyBorder="1" applyAlignment="1" applyProtection="1">
      <alignment horizontal="justify" vertical="center" wrapText="1"/>
      <protection locked="0"/>
    </xf>
    <xf numFmtId="0" fontId="28" fillId="25" borderId="63" xfId="0" applyFont="1" applyFill="1" applyBorder="1" applyAlignment="1" applyProtection="1">
      <alignment horizontal="justify" vertical="center" wrapText="1"/>
    </xf>
    <xf numFmtId="0" fontId="28" fillId="25" borderId="0" xfId="0" applyFont="1" applyFill="1" applyBorder="1" applyAlignment="1" applyProtection="1">
      <alignment horizontal="justify" vertical="center" wrapText="1"/>
    </xf>
    <xf numFmtId="0" fontId="28" fillId="25" borderId="32" xfId="0" applyFont="1" applyFill="1" applyBorder="1" applyAlignment="1" applyProtection="1">
      <alignment horizontal="justify" vertical="center" wrapText="1"/>
    </xf>
    <xf numFmtId="0" fontId="28" fillId="25" borderId="34" xfId="0" applyFont="1" applyFill="1" applyBorder="1" applyAlignment="1" applyProtection="1">
      <alignment horizontal="justify" vertical="center" wrapText="1"/>
    </xf>
    <xf numFmtId="0" fontId="28" fillId="25" borderId="86" xfId="0" applyFont="1" applyFill="1" applyBorder="1" applyAlignment="1" applyProtection="1">
      <alignment horizontal="justify" vertical="center" wrapText="1"/>
    </xf>
    <xf numFmtId="0" fontId="32" fillId="25" borderId="88" xfId="0" applyFont="1" applyFill="1" applyBorder="1" applyAlignment="1" applyProtection="1">
      <alignment horizontal="justify" vertical="center"/>
    </xf>
    <xf numFmtId="0" fontId="28" fillId="25" borderId="94" xfId="0" applyFont="1" applyFill="1" applyBorder="1" applyAlignment="1" applyProtection="1">
      <alignment horizontal="justify" vertical="center"/>
    </xf>
    <xf numFmtId="0" fontId="28" fillId="25" borderId="20" xfId="0" applyFont="1" applyFill="1" applyBorder="1" applyAlignment="1" applyProtection="1">
      <alignment horizontal="justify" vertical="center"/>
    </xf>
    <xf numFmtId="0" fontId="28" fillId="0" borderId="50" xfId="0" applyFont="1" applyFill="1" applyBorder="1" applyAlignment="1" applyProtection="1">
      <alignment horizontal="justify" vertical="center" wrapText="1"/>
      <protection locked="0"/>
    </xf>
    <xf numFmtId="0" fontId="28" fillId="0" borderId="38" xfId="0" applyFont="1" applyFill="1" applyBorder="1" applyAlignment="1" applyProtection="1">
      <alignment horizontal="justify" vertical="center" wrapText="1"/>
      <protection locked="0"/>
    </xf>
    <xf numFmtId="0" fontId="28" fillId="0" borderId="99" xfId="0" applyFont="1" applyFill="1" applyBorder="1" applyAlignment="1" applyProtection="1">
      <alignment horizontal="justify" vertical="center" wrapText="1"/>
      <protection locked="0"/>
    </xf>
    <xf numFmtId="0" fontId="0" fillId="0" borderId="12" xfId="0" applyBorder="1" applyAlignment="1" applyProtection="1">
      <alignment wrapText="1"/>
      <protection locked="0"/>
    </xf>
    <xf numFmtId="0" fontId="0" fillId="0" borderId="20" xfId="0" applyBorder="1" applyAlignment="1" applyProtection="1">
      <alignment wrapText="1"/>
      <protection locked="0"/>
    </xf>
    <xf numFmtId="0" fontId="23" fillId="0" borderId="88" xfId="0" applyFont="1" applyBorder="1" applyAlignment="1" applyProtection="1">
      <alignment horizontal="left" vertical="top" wrapText="1"/>
      <protection locked="0"/>
    </xf>
    <xf numFmtId="0" fontId="23" fillId="0" borderId="94" xfId="0" applyFont="1" applyBorder="1" applyAlignment="1" applyProtection="1">
      <alignment horizontal="left" vertical="top" wrapText="1"/>
      <protection locked="0"/>
    </xf>
    <xf numFmtId="0" fontId="23" fillId="0" borderId="47" xfId="0" applyFont="1" applyBorder="1" applyAlignment="1" applyProtection="1">
      <alignment horizontal="left" vertical="top" wrapText="1"/>
      <protection locked="0"/>
    </xf>
    <xf numFmtId="0" fontId="28" fillId="0" borderId="88" xfId="0" applyFont="1" applyBorder="1" applyAlignment="1" applyProtection="1">
      <alignment horizontal="left" vertical="center" wrapText="1"/>
      <protection locked="0"/>
    </xf>
    <xf numFmtId="0" fontId="28" fillId="0" borderId="47" xfId="0" applyFont="1" applyBorder="1" applyAlignment="1" applyProtection="1">
      <alignment horizontal="left" vertical="center" wrapText="1"/>
      <protection locked="0"/>
    </xf>
    <xf numFmtId="0" fontId="28" fillId="0" borderId="46"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28" fillId="0" borderId="12"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4" fillId="25" borderId="97" xfId="0" applyFont="1" applyFill="1" applyBorder="1" applyAlignment="1" applyProtection="1">
      <alignment horizontal="left" vertical="top" wrapText="1" indent="1"/>
    </xf>
    <xf numFmtId="0" fontId="24" fillId="25" borderId="98" xfId="0" applyFont="1" applyFill="1" applyBorder="1" applyAlignment="1" applyProtection="1">
      <alignment horizontal="left" vertical="top" wrapText="1" indent="1"/>
    </xf>
    <xf numFmtId="0" fontId="28" fillId="25" borderId="98" xfId="0" applyFont="1" applyFill="1" applyBorder="1" applyAlignment="1" applyProtection="1">
      <alignment horizontal="left" vertical="top" wrapText="1" indent="1"/>
    </xf>
    <xf numFmtId="0" fontId="24" fillId="25" borderId="87" xfId="0" applyFont="1" applyFill="1" applyBorder="1" applyAlignment="1" applyProtection="1">
      <alignment horizontal="left" vertical="top" wrapText="1" indent="1"/>
    </xf>
    <xf numFmtId="0" fontId="29" fillId="25" borderId="44" xfId="0" applyFont="1" applyFill="1" applyBorder="1" applyAlignment="1" applyProtection="1">
      <alignment horizontal="center" vertical="center" wrapText="1"/>
    </xf>
    <xf numFmtId="0" fontId="29" fillId="25" borderId="87" xfId="0" applyFont="1" applyFill="1" applyBorder="1" applyAlignment="1" applyProtection="1">
      <alignment horizontal="center" vertical="center" wrapText="1"/>
    </xf>
    <xf numFmtId="0" fontId="22" fillId="25" borderId="37" xfId="0" applyFont="1" applyFill="1" applyBorder="1" applyAlignment="1" applyProtection="1">
      <alignment horizontal="left"/>
    </xf>
    <xf numFmtId="0" fontId="22" fillId="25" borderId="38" xfId="0" applyFont="1" applyFill="1" applyBorder="1" applyAlignment="1" applyProtection="1">
      <alignment horizontal="left"/>
    </xf>
    <xf numFmtId="0" fontId="22" fillId="25" borderId="84" xfId="0" applyFont="1" applyFill="1" applyBorder="1" applyAlignment="1" applyProtection="1">
      <alignment horizontal="left"/>
    </xf>
    <xf numFmtId="0" fontId="24" fillId="25" borderId="37" xfId="0" applyFont="1" applyFill="1" applyBorder="1" applyAlignment="1" applyProtection="1">
      <alignment horizontal="left" vertical="center" wrapText="1" indent="1"/>
    </xf>
    <xf numFmtId="0" fontId="24" fillId="25" borderId="38" xfId="0" applyFont="1" applyFill="1" applyBorder="1" applyAlignment="1" applyProtection="1">
      <alignment horizontal="left" vertical="center" wrapText="1" indent="1"/>
    </xf>
    <xf numFmtId="0" fontId="24" fillId="25" borderId="84" xfId="0" applyFont="1" applyFill="1" applyBorder="1" applyAlignment="1" applyProtection="1">
      <alignment horizontal="left" vertical="center" wrapText="1" indent="1"/>
    </xf>
    <xf numFmtId="0" fontId="23" fillId="0" borderId="67" xfId="0" applyFont="1" applyBorder="1" applyAlignment="1" applyProtection="1">
      <alignment horizontal="left" vertical="top" wrapText="1"/>
    </xf>
    <xf numFmtId="49" fontId="23" fillId="0" borderId="88" xfId="0" applyNumberFormat="1" applyFont="1" applyBorder="1" applyAlignment="1" applyProtection="1">
      <alignment horizontal="left" vertical="top" wrapText="1"/>
      <protection locked="0"/>
    </xf>
    <xf numFmtId="49" fontId="23" fillId="0" borderId="94" xfId="0" applyNumberFormat="1" applyFont="1" applyBorder="1" applyAlignment="1" applyProtection="1">
      <alignment horizontal="left" vertical="top" wrapText="1"/>
      <protection locked="0"/>
    </xf>
    <xf numFmtId="49" fontId="23" fillId="0" borderId="47" xfId="0" applyNumberFormat="1" applyFont="1" applyBorder="1" applyAlignment="1" applyProtection="1">
      <alignment horizontal="left" vertical="top" wrapText="1"/>
      <protection locked="0"/>
    </xf>
    <xf numFmtId="0" fontId="24" fillId="25" borderId="77" xfId="0" applyFont="1" applyFill="1" applyBorder="1" applyAlignment="1" applyProtection="1">
      <alignment horizontal="left" vertical="top" wrapText="1"/>
    </xf>
    <xf numFmtId="0" fontId="24" fillId="25" borderId="16" xfId="0" applyFont="1" applyFill="1" applyBorder="1" applyAlignment="1" applyProtection="1">
      <alignment horizontal="left" vertical="top" wrapText="1"/>
    </xf>
    <xf numFmtId="0" fontId="24" fillId="25" borderId="26" xfId="0" applyFont="1" applyFill="1" applyBorder="1" applyAlignment="1" applyProtection="1">
      <alignment horizontal="left" vertical="top" wrapText="1"/>
    </xf>
    <xf numFmtId="0" fontId="23" fillId="0" borderId="16" xfId="0" applyFont="1" applyBorder="1" applyAlignment="1" applyProtection="1">
      <alignment horizontal="justify" vertical="center" wrapText="1"/>
    </xf>
    <xf numFmtId="0" fontId="24" fillId="25" borderId="88" xfId="0" applyFont="1" applyFill="1" applyBorder="1" applyAlignment="1" applyProtection="1">
      <alignment horizontal="center" vertical="center" wrapText="1"/>
    </xf>
    <xf numFmtId="0" fontId="24" fillId="25" borderId="94" xfId="0" applyFont="1" applyFill="1" applyBorder="1" applyAlignment="1" applyProtection="1">
      <alignment horizontal="center" vertical="center" wrapText="1"/>
    </xf>
    <xf numFmtId="0" fontId="24" fillId="25" borderId="47" xfId="0" applyFont="1" applyFill="1" applyBorder="1" applyAlignment="1" applyProtection="1">
      <alignment horizontal="center" vertical="center" wrapText="1"/>
    </xf>
    <xf numFmtId="0" fontId="42" fillId="25" borderId="18" xfId="0" applyFont="1" applyFill="1" applyBorder="1" applyAlignment="1" applyProtection="1">
      <alignment horizontal="left" vertical="center" wrapText="1"/>
    </xf>
    <xf numFmtId="0" fontId="42" fillId="25" borderId="13" xfId="0" applyFont="1" applyFill="1" applyBorder="1" applyAlignment="1" applyProtection="1">
      <alignment horizontal="left" vertical="center" wrapText="1"/>
    </xf>
    <xf numFmtId="0" fontId="42" fillId="25" borderId="22" xfId="0" applyFont="1" applyFill="1" applyBorder="1" applyAlignment="1" applyProtection="1">
      <alignment horizontal="left" vertical="center" wrapText="1"/>
    </xf>
    <xf numFmtId="0" fontId="42" fillId="25" borderId="15" xfId="0" applyFont="1" applyFill="1" applyBorder="1" applyAlignment="1" applyProtection="1">
      <alignment horizontal="left" vertical="center" wrapText="1"/>
    </xf>
    <xf numFmtId="0" fontId="23" fillId="0" borderId="86" xfId="0" applyFont="1" applyBorder="1" applyAlignment="1" applyProtection="1">
      <alignment horizontal="left" vertical="top" wrapText="1"/>
      <protection locked="0"/>
    </xf>
    <xf numFmtId="0" fontId="23" fillId="0" borderId="71" xfId="0" applyFont="1" applyBorder="1" applyAlignment="1" applyProtection="1">
      <alignment horizontal="left" vertical="top" wrapText="1"/>
      <protection locked="0"/>
    </xf>
    <xf numFmtId="0" fontId="23" fillId="0" borderId="36" xfId="0" applyFont="1" applyBorder="1" applyAlignment="1" applyProtection="1">
      <alignment horizontal="left" vertical="top" wrapText="1"/>
      <protection locked="0"/>
    </xf>
    <xf numFmtId="0" fontId="24" fillId="25" borderId="97" xfId="0" applyFont="1" applyFill="1" applyBorder="1" applyAlignment="1" applyProtection="1">
      <alignment horizontal="center" vertical="center" wrapText="1"/>
    </xf>
    <xf numFmtId="0" fontId="24" fillId="25" borderId="43" xfId="0" applyFont="1" applyFill="1" applyBorder="1" applyAlignment="1" applyProtection="1">
      <alignment horizontal="center" vertical="center" wrapText="1"/>
    </xf>
    <xf numFmtId="0" fontId="24" fillId="25" borderId="62" xfId="0" applyFont="1" applyFill="1" applyBorder="1" applyAlignment="1" applyProtection="1">
      <alignment horizontal="left" vertical="center" wrapText="1" indent="2"/>
    </xf>
    <xf numFmtId="0" fontId="0" fillId="0" borderId="67" xfId="0" applyBorder="1" applyAlignment="1" applyProtection="1">
      <alignment horizontal="left" vertical="center" wrapText="1" indent="2"/>
    </xf>
    <xf numFmtId="0" fontId="0" fillId="0" borderId="72" xfId="0" applyBorder="1" applyAlignment="1" applyProtection="1">
      <alignment horizontal="left" vertical="center" wrapText="1" indent="2"/>
    </xf>
    <xf numFmtId="0" fontId="0" fillId="0" borderId="63" xfId="0" applyBorder="1" applyAlignment="1" applyProtection="1">
      <alignment horizontal="left" vertical="center" wrapText="1" indent="2"/>
    </xf>
    <xf numFmtId="0" fontId="0" fillId="0" borderId="0" xfId="0" applyAlignment="1" applyProtection="1">
      <alignment horizontal="left" vertical="center" wrapText="1" indent="2"/>
    </xf>
    <xf numFmtId="0" fontId="0" fillId="0" borderId="19" xfId="0" applyBorder="1" applyAlignment="1" applyProtection="1">
      <alignment horizontal="left" vertical="center" wrapText="1" indent="2"/>
    </xf>
    <xf numFmtId="0" fontId="0" fillId="0" borderId="77" xfId="0" applyBorder="1" applyAlignment="1" applyProtection="1">
      <alignment horizontal="left" vertical="center" wrapText="1" indent="2"/>
    </xf>
    <xf numFmtId="0" fontId="0" fillId="0" borderId="16" xfId="0" applyBorder="1" applyAlignment="1" applyProtection="1">
      <alignment horizontal="left" vertical="center" wrapText="1" indent="2"/>
    </xf>
    <xf numFmtId="0" fontId="0" fillId="0" borderId="58" xfId="0" applyBorder="1" applyAlignment="1" applyProtection="1">
      <alignment horizontal="left" vertical="center" wrapText="1" indent="2"/>
    </xf>
    <xf numFmtId="0" fontId="0" fillId="0" borderId="14" xfId="0" applyBorder="1" applyAlignment="1" applyProtection="1">
      <alignment wrapText="1"/>
      <protection locked="0"/>
    </xf>
    <xf numFmtId="0" fontId="0" fillId="0" borderId="21" xfId="0" applyBorder="1" applyAlignment="1" applyProtection="1">
      <alignment wrapText="1"/>
      <protection locked="0"/>
    </xf>
    <xf numFmtId="0" fontId="28" fillId="0" borderId="48"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71" xfId="0" applyFont="1" applyBorder="1" applyAlignment="1" applyProtection="1">
      <alignment horizontal="left" vertical="center" wrapText="1"/>
      <protection locked="0"/>
    </xf>
    <xf numFmtId="0" fontId="23" fillId="0" borderId="36" xfId="0" applyFont="1" applyBorder="1" applyAlignment="1" applyProtection="1">
      <alignment horizontal="left" vertical="center" wrapText="1"/>
      <protection locked="0"/>
    </xf>
    <xf numFmtId="0" fontId="28" fillId="25" borderId="40" xfId="0" applyFont="1" applyFill="1" applyBorder="1" applyAlignment="1" applyProtection="1">
      <alignment horizontal="center" vertical="center" wrapText="1"/>
    </xf>
    <xf numFmtId="0" fontId="28" fillId="25" borderId="30" xfId="0" applyFont="1" applyFill="1" applyBorder="1" applyAlignment="1" applyProtection="1">
      <alignment horizontal="center" vertical="center" wrapText="1"/>
    </xf>
    <xf numFmtId="0" fontId="28" fillId="26" borderId="96" xfId="0" applyFont="1" applyFill="1" applyBorder="1" applyAlignment="1" applyProtection="1">
      <alignment horizontal="center" vertical="center" wrapText="1"/>
      <protection locked="0"/>
    </xf>
    <xf numFmtId="0" fontId="28" fillId="26" borderId="0" xfId="0" applyFont="1" applyFill="1" applyBorder="1" applyAlignment="1" applyProtection="1">
      <alignment horizontal="center" vertical="center" wrapText="1"/>
      <protection locked="0"/>
    </xf>
    <xf numFmtId="0" fontId="28" fillId="26" borderId="19" xfId="0" applyFont="1" applyFill="1" applyBorder="1" applyAlignment="1" applyProtection="1">
      <alignment horizontal="center" vertical="center" wrapText="1"/>
      <protection locked="0"/>
    </xf>
    <xf numFmtId="0" fontId="28" fillId="26" borderId="85" xfId="0" applyFont="1" applyFill="1" applyBorder="1" applyAlignment="1" applyProtection="1">
      <alignment horizontal="center" vertical="center" wrapText="1"/>
      <protection locked="0"/>
    </xf>
    <xf numFmtId="0" fontId="28" fillId="26" borderId="16" xfId="0" applyFont="1" applyFill="1" applyBorder="1" applyAlignment="1" applyProtection="1">
      <alignment horizontal="center" vertical="center" wrapText="1"/>
      <protection locked="0"/>
    </xf>
    <xf numFmtId="0" fontId="28" fillId="26" borderId="58"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23" fillId="0" borderId="44" xfId="0" applyFont="1" applyBorder="1" applyAlignment="1" applyProtection="1">
      <alignment horizontal="left" vertical="center" wrapText="1"/>
      <protection locked="0"/>
    </xf>
    <xf numFmtId="0" fontId="23" fillId="0" borderId="98" xfId="0" applyFont="1" applyBorder="1" applyAlignment="1" applyProtection="1">
      <alignment horizontal="left" vertical="center" wrapText="1"/>
      <protection locked="0"/>
    </xf>
    <xf numFmtId="0" fontId="23" fillId="0" borderId="43" xfId="0" applyFont="1" applyBorder="1" applyAlignment="1" applyProtection="1">
      <alignment horizontal="left" vertical="center" wrapText="1"/>
      <protection locked="0"/>
    </xf>
    <xf numFmtId="0" fontId="23" fillId="0" borderId="86" xfId="0" applyFont="1" applyBorder="1" applyAlignment="1" applyProtection="1">
      <alignment horizontal="justify" vertical="top" wrapText="1"/>
      <protection locked="0"/>
    </xf>
    <xf numFmtId="0" fontId="24" fillId="0" borderId="71" xfId="0" applyFont="1" applyBorder="1" applyAlignment="1" applyProtection="1">
      <alignment horizontal="justify" vertical="top" wrapText="1"/>
      <protection locked="0"/>
    </xf>
    <xf numFmtId="0" fontId="24" fillId="0" borderId="21" xfId="0" applyFont="1" applyBorder="1" applyAlignment="1" applyProtection="1">
      <alignment horizontal="justify" vertical="top" wrapText="1"/>
      <protection locked="0"/>
    </xf>
    <xf numFmtId="0" fontId="27" fillId="25" borderId="97" xfId="0" applyFont="1" applyFill="1" applyBorder="1" applyAlignment="1" applyProtection="1">
      <alignment horizontal="left" vertical="center"/>
    </xf>
    <xf numFmtId="0" fontId="27" fillId="25" borderId="98" xfId="0" applyFont="1" applyFill="1" applyBorder="1" applyAlignment="1" applyProtection="1">
      <alignment horizontal="left" vertical="center"/>
    </xf>
    <xf numFmtId="0" fontId="27" fillId="25" borderId="87" xfId="0" applyFont="1" applyFill="1" applyBorder="1" applyAlignment="1" applyProtection="1">
      <alignment horizontal="left" vertical="center"/>
    </xf>
    <xf numFmtId="0" fontId="23" fillId="0" borderId="12" xfId="0" applyFont="1" applyBorder="1" applyAlignment="1" applyProtection="1">
      <alignment horizontal="left" vertical="center" wrapText="1"/>
      <protection locked="0"/>
    </xf>
    <xf numFmtId="0" fontId="23" fillId="0" borderId="94"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24" fillId="25" borderId="37" xfId="0" applyFont="1" applyFill="1" applyBorder="1" applyAlignment="1" applyProtection="1">
      <alignment horizontal="left" vertical="center" wrapText="1"/>
    </xf>
    <xf numFmtId="0" fontId="24" fillId="25" borderId="38" xfId="0" applyFont="1" applyFill="1" applyBorder="1" applyAlignment="1" applyProtection="1">
      <alignment horizontal="left" vertical="center" wrapText="1"/>
    </xf>
    <xf numFmtId="0" fontId="29" fillId="25" borderId="38" xfId="0" applyFont="1" applyFill="1" applyBorder="1" applyAlignment="1" applyProtection="1">
      <alignment horizontal="right" vertical="center" wrapText="1"/>
    </xf>
    <xf numFmtId="0" fontId="29" fillId="25" borderId="84" xfId="0" applyFont="1" applyFill="1" applyBorder="1" applyAlignment="1" applyProtection="1">
      <alignment horizontal="right" vertical="center" wrapText="1"/>
    </xf>
    <xf numFmtId="0" fontId="24" fillId="25" borderId="49" xfId="0" applyFont="1" applyFill="1" applyBorder="1" applyAlignment="1" applyProtection="1">
      <alignment horizontal="left" vertical="center" wrapText="1"/>
    </xf>
    <xf numFmtId="0" fontId="24" fillId="25" borderId="52" xfId="0" applyFont="1" applyFill="1" applyBorder="1" applyAlignment="1" applyProtection="1">
      <alignment horizontal="left" vertical="center" wrapText="1"/>
    </xf>
    <xf numFmtId="0" fontId="24" fillId="25" borderId="91" xfId="0" applyFont="1" applyFill="1" applyBorder="1" applyAlignment="1" applyProtection="1">
      <alignment horizontal="left" vertical="center" wrapText="1"/>
    </xf>
    <xf numFmtId="0" fontId="23" fillId="25" borderId="40" xfId="0" applyFont="1" applyFill="1" applyBorder="1" applyAlignment="1" applyProtection="1">
      <alignment horizontal="left" vertical="center" wrapText="1"/>
    </xf>
    <xf numFmtId="0" fontId="23" fillId="0" borderId="87" xfId="0" applyFont="1" applyBorder="1" applyAlignment="1" applyProtection="1">
      <alignment horizontal="left" vertical="center" wrapText="1"/>
      <protection locked="0"/>
    </xf>
    <xf numFmtId="0" fontId="23" fillId="0" borderId="47" xfId="0" applyFont="1" applyBorder="1" applyAlignment="1" applyProtection="1">
      <alignment horizontal="left" vertical="center" wrapText="1"/>
      <protection locked="0"/>
    </xf>
    <xf numFmtId="0" fontId="23" fillId="0" borderId="62" xfId="0" applyNumberFormat="1" applyFont="1" applyBorder="1" applyAlignment="1" applyProtection="1">
      <alignment horizontal="justify" vertical="top" wrapText="1"/>
      <protection locked="0"/>
    </xf>
    <xf numFmtId="0" fontId="23" fillId="0" borderId="67" xfId="0" applyNumberFormat="1" applyFont="1" applyBorder="1" applyAlignment="1" applyProtection="1">
      <alignment horizontal="justify" vertical="top" wrapText="1"/>
      <protection locked="0"/>
    </xf>
    <xf numFmtId="0" fontId="23" fillId="0" borderId="72" xfId="0" applyNumberFormat="1" applyFont="1" applyBorder="1" applyAlignment="1" applyProtection="1">
      <alignment horizontal="justify" vertical="top" wrapText="1"/>
      <protection locked="0"/>
    </xf>
    <xf numFmtId="0" fontId="23" fillId="0" borderId="63" xfId="0" applyNumberFormat="1" applyFont="1" applyBorder="1" applyAlignment="1" applyProtection="1">
      <alignment horizontal="justify" vertical="top" wrapText="1"/>
      <protection locked="0"/>
    </xf>
    <xf numFmtId="0" fontId="23" fillId="0" borderId="0" xfId="0" applyNumberFormat="1" applyFont="1" applyBorder="1" applyAlignment="1" applyProtection="1">
      <alignment horizontal="justify" vertical="top" wrapText="1"/>
      <protection locked="0"/>
    </xf>
    <xf numFmtId="0" fontId="23" fillId="0" borderId="19" xfId="0" applyNumberFormat="1" applyFont="1" applyBorder="1" applyAlignment="1" applyProtection="1">
      <alignment horizontal="justify" vertical="top" wrapText="1"/>
      <protection locked="0"/>
    </xf>
    <xf numFmtId="0" fontId="23" fillId="0" borderId="77" xfId="0" applyNumberFormat="1" applyFont="1" applyBorder="1" applyAlignment="1" applyProtection="1">
      <alignment horizontal="justify" vertical="top" wrapText="1"/>
      <protection locked="0"/>
    </xf>
    <xf numFmtId="0" fontId="23" fillId="0" borderId="16" xfId="0" applyNumberFormat="1" applyFont="1" applyBorder="1" applyAlignment="1" applyProtection="1">
      <alignment horizontal="justify" vertical="top" wrapText="1"/>
      <protection locked="0"/>
    </xf>
    <xf numFmtId="0" fontId="23" fillId="0" borderId="58" xfId="0" applyNumberFormat="1" applyFont="1" applyBorder="1" applyAlignment="1" applyProtection="1">
      <alignment horizontal="justify" vertical="top" wrapText="1"/>
      <protection locked="0"/>
    </xf>
    <xf numFmtId="0" fontId="28" fillId="0" borderId="40"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2" fillId="25" borderId="100" xfId="0" applyFont="1" applyFill="1" applyBorder="1" applyAlignment="1" applyProtection="1">
      <alignment horizontal="left" vertical="center" wrapText="1" indent="1"/>
    </xf>
    <xf numFmtId="0" fontId="22" fillId="25" borderId="101" xfId="0" applyFont="1" applyFill="1" applyBorder="1" applyAlignment="1" applyProtection="1">
      <alignment horizontal="left" vertical="center" wrapText="1" indent="1"/>
    </xf>
    <xf numFmtId="0" fontId="22" fillId="25" borderId="102" xfId="0" applyFont="1" applyFill="1" applyBorder="1" applyAlignment="1" applyProtection="1">
      <alignment horizontal="left" vertical="center" wrapText="1" indent="1"/>
    </xf>
    <xf numFmtId="0" fontId="28" fillId="25" borderId="63" xfId="0" applyFont="1" applyFill="1" applyBorder="1" applyAlignment="1" applyProtection="1">
      <alignment horizontal="center" vertical="center" wrapText="1"/>
    </xf>
    <xf numFmtId="0" fontId="28" fillId="25" borderId="0" xfId="0" applyFont="1" applyFill="1" applyBorder="1" applyAlignment="1" applyProtection="1">
      <alignment horizontal="center" vertical="center" wrapText="1"/>
    </xf>
    <xf numFmtId="0" fontId="28" fillId="25" borderId="77" xfId="0" applyFont="1" applyFill="1" applyBorder="1" applyAlignment="1" applyProtection="1">
      <alignment horizontal="center" vertical="center" wrapText="1"/>
    </xf>
    <xf numFmtId="0" fontId="28" fillId="25" borderId="16" xfId="0" applyFont="1" applyFill="1" applyBorder="1" applyAlignment="1" applyProtection="1">
      <alignment horizontal="center" vertical="center" wrapText="1"/>
    </xf>
    <xf numFmtId="0" fontId="28" fillId="25" borderId="96" xfId="0" applyFont="1" applyFill="1" applyBorder="1" applyAlignment="1" applyProtection="1">
      <alignment horizontal="center" vertical="center" wrapText="1"/>
    </xf>
    <xf numFmtId="0" fontId="28" fillId="25" borderId="85" xfId="0" applyFont="1" applyFill="1" applyBorder="1" applyAlignment="1" applyProtection="1">
      <alignment horizontal="center" vertical="center" wrapText="1"/>
    </xf>
    <xf numFmtId="0" fontId="28" fillId="0" borderId="96"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4" fillId="0" borderId="92" xfId="0" applyFont="1" applyBorder="1" applyAlignment="1" applyProtection="1">
      <alignment horizontal="justify" vertical="top" wrapText="1"/>
      <protection locked="0"/>
    </xf>
    <xf numFmtId="0" fontId="24" fillId="0" borderId="70" xfId="0" applyFont="1" applyBorder="1" applyAlignment="1" applyProtection="1">
      <alignment horizontal="justify" vertical="top" wrapText="1"/>
      <protection locked="0"/>
    </xf>
    <xf numFmtId="0" fontId="24" fillId="0" borderId="83" xfId="0" applyFont="1" applyBorder="1" applyAlignment="1" applyProtection="1">
      <alignment horizontal="justify" vertical="top" wrapText="1"/>
      <protection locked="0"/>
    </xf>
    <xf numFmtId="0" fontId="24" fillId="0" borderId="63" xfId="0" applyFont="1" applyBorder="1" applyAlignment="1" applyProtection="1">
      <alignment horizontal="justify" vertical="top" wrapText="1"/>
      <protection locked="0"/>
    </xf>
    <xf numFmtId="0" fontId="24" fillId="0" borderId="0" xfId="0" applyFont="1" applyBorder="1" applyAlignment="1" applyProtection="1">
      <alignment horizontal="justify" vertical="top" wrapText="1"/>
      <protection locked="0"/>
    </xf>
    <xf numFmtId="0" fontId="24" fillId="0" borderId="19" xfId="0" applyFont="1"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16" xfId="0" applyBorder="1" applyAlignment="1" applyProtection="1">
      <alignment horizontal="justify" vertical="top" wrapText="1"/>
      <protection locked="0"/>
    </xf>
    <xf numFmtId="0" fontId="0" fillId="0" borderId="58" xfId="0" applyBorder="1" applyAlignment="1" applyProtection="1">
      <alignment horizontal="justify" vertical="top" wrapText="1"/>
      <protection locked="0"/>
    </xf>
    <xf numFmtId="0" fontId="27" fillId="25" borderId="62" xfId="0" applyFont="1" applyFill="1" applyBorder="1" applyAlignment="1" applyProtection="1">
      <alignment horizontal="left" vertical="center"/>
    </xf>
    <xf numFmtId="0" fontId="27" fillId="25" borderId="67" xfId="0" applyFont="1" applyFill="1" applyBorder="1" applyAlignment="1" applyProtection="1">
      <alignment horizontal="left" vertical="center"/>
    </xf>
    <xf numFmtId="0" fontId="27" fillId="25" borderId="72" xfId="0" applyFont="1" applyFill="1" applyBorder="1" applyAlignment="1" applyProtection="1">
      <alignment horizontal="left" vertical="center"/>
    </xf>
    <xf numFmtId="0" fontId="27" fillId="0" borderId="49" xfId="0" applyFont="1" applyFill="1" applyBorder="1" applyAlignment="1" applyProtection="1">
      <alignment horizontal="center" vertical="center"/>
      <protection locked="0"/>
    </xf>
    <xf numFmtId="0" fontId="27" fillId="0" borderId="52" xfId="0" applyFont="1" applyFill="1" applyBorder="1" applyAlignment="1" applyProtection="1">
      <alignment horizontal="center" vertical="center"/>
      <protection locked="0"/>
    </xf>
    <xf numFmtId="0" fontId="27" fillId="0" borderId="91" xfId="0" applyFont="1" applyFill="1" applyBorder="1" applyAlignment="1" applyProtection="1">
      <alignment horizontal="center" vertical="center"/>
      <protection locked="0"/>
    </xf>
    <xf numFmtId="0" fontId="24" fillId="25" borderId="66" xfId="0" applyFont="1" applyFill="1" applyBorder="1" applyAlignment="1" applyProtection="1">
      <alignment horizontal="center" vertical="center" wrapText="1"/>
    </xf>
    <xf numFmtId="0" fontId="24" fillId="25" borderId="41" xfId="0" applyFont="1" applyFill="1" applyBorder="1" applyAlignment="1" applyProtection="1">
      <alignment horizontal="center" vertical="center" wrapText="1"/>
    </xf>
    <xf numFmtId="0" fontId="24" fillId="25" borderId="40" xfId="0" applyFont="1" applyFill="1" applyBorder="1" applyAlignment="1" applyProtection="1">
      <alignment horizontal="center" vertical="center" wrapText="1"/>
    </xf>
    <xf numFmtId="0" fontId="24" fillId="25" borderId="30" xfId="0" applyFont="1" applyFill="1" applyBorder="1" applyAlignment="1" applyProtection="1">
      <alignment horizontal="center" vertical="center" wrapText="1"/>
    </xf>
    <xf numFmtId="0" fontId="24" fillId="25" borderId="63" xfId="0" applyFont="1" applyFill="1" applyBorder="1" applyAlignment="1" applyProtection="1">
      <alignment horizontal="center" vertical="center" wrapText="1"/>
    </xf>
    <xf numFmtId="0" fontId="24" fillId="25" borderId="19" xfId="0" applyFont="1" applyFill="1" applyBorder="1" applyAlignment="1" applyProtection="1">
      <alignment horizontal="center" vertical="center" wrapText="1"/>
    </xf>
    <xf numFmtId="0" fontId="24" fillId="25" borderId="77" xfId="0" applyFont="1" applyFill="1" applyBorder="1" applyAlignment="1" applyProtection="1">
      <alignment horizontal="center" vertical="center" wrapText="1"/>
    </xf>
    <xf numFmtId="0" fontId="24" fillId="25" borderId="58" xfId="0" applyFont="1" applyFill="1" applyBorder="1" applyAlignment="1" applyProtection="1">
      <alignment horizontal="center" vertical="center" wrapText="1"/>
    </xf>
    <xf numFmtId="0" fontId="23" fillId="25" borderId="46" xfId="0" applyFont="1" applyFill="1" applyBorder="1" applyAlignment="1" applyProtection="1">
      <alignment horizontal="right" vertical="center" wrapText="1"/>
    </xf>
    <xf numFmtId="0" fontId="23" fillId="25" borderId="18" xfId="0" applyFont="1" applyFill="1" applyBorder="1" applyAlignment="1" applyProtection="1">
      <alignment horizontal="right" vertical="center" wrapText="1"/>
    </xf>
    <xf numFmtId="0" fontId="23" fillId="25" borderId="48" xfId="0" applyFont="1" applyFill="1" applyBorder="1" applyAlignment="1" applyProtection="1">
      <alignment horizontal="right" vertical="center" wrapText="1"/>
    </xf>
    <xf numFmtId="0" fontId="23" fillId="25" borderId="22" xfId="0" applyFont="1" applyFill="1" applyBorder="1" applyAlignment="1" applyProtection="1">
      <alignment horizontal="right" vertical="center" wrapText="1"/>
    </xf>
    <xf numFmtId="14" fontId="23" fillId="25" borderId="38" xfId="0" applyNumberFormat="1" applyFont="1" applyFill="1" applyBorder="1" applyAlignment="1" applyProtection="1">
      <alignment horizontal="center" vertical="center" wrapText="1"/>
    </xf>
    <xf numFmtId="14" fontId="23" fillId="25" borderId="84" xfId="0" applyNumberFormat="1" applyFont="1" applyFill="1" applyBorder="1" applyAlignment="1" applyProtection="1">
      <alignment horizontal="center" vertical="center" wrapText="1"/>
    </xf>
    <xf numFmtId="14" fontId="23" fillId="25" borderId="49" xfId="0" applyNumberFormat="1" applyFont="1" applyFill="1" applyBorder="1" applyAlignment="1" applyProtection="1">
      <alignment horizontal="center" vertical="center" wrapText="1"/>
    </xf>
    <xf numFmtId="14" fontId="23" fillId="25" borderId="52" xfId="0" applyNumberFormat="1" applyFont="1" applyFill="1" applyBorder="1" applyAlignment="1" applyProtection="1">
      <alignment horizontal="center" vertical="center" wrapText="1"/>
    </xf>
    <xf numFmtId="0" fontId="36" fillId="0" borderId="0" xfId="0" applyFont="1" applyFill="1" applyBorder="1" applyAlignment="1" applyProtection="1">
      <alignment horizontal="justify" vertical="top" wrapText="1"/>
    </xf>
    <xf numFmtId="0" fontId="22" fillId="25" borderId="62" xfId="0" applyFont="1" applyFill="1" applyBorder="1" applyAlignment="1">
      <alignment horizontal="left" vertical="center" wrapText="1"/>
    </xf>
    <xf numFmtId="0" fontId="22" fillId="25" borderId="67" xfId="0" applyFont="1" applyFill="1" applyBorder="1" applyAlignment="1">
      <alignment horizontal="left" vertical="center" wrapText="1"/>
    </xf>
    <xf numFmtId="0" fontId="22" fillId="25" borderId="72" xfId="0" applyFont="1" applyFill="1" applyBorder="1" applyAlignment="1">
      <alignment horizontal="left" vertical="center" wrapText="1"/>
    </xf>
    <xf numFmtId="0" fontId="22" fillId="25" borderId="77" xfId="0" applyFont="1" applyFill="1" applyBorder="1" applyAlignment="1">
      <alignment horizontal="left" vertical="center" wrapText="1"/>
    </xf>
    <xf numFmtId="0" fontId="22" fillId="25" borderId="16" xfId="0" applyFont="1" applyFill="1" applyBorder="1" applyAlignment="1">
      <alignment horizontal="left" vertical="center" wrapText="1"/>
    </xf>
    <xf numFmtId="0" fontId="22" fillId="25" borderId="58" xfId="0" applyFont="1" applyFill="1" applyBorder="1" applyAlignment="1">
      <alignment horizontal="left" vertical="center" wrapText="1"/>
    </xf>
    <xf numFmtId="0" fontId="24" fillId="25" borderId="37" xfId="0" applyFont="1" applyFill="1" applyBorder="1" applyAlignment="1">
      <alignment horizontal="left" vertical="center" wrapText="1"/>
    </xf>
    <xf numFmtId="0" fontId="24" fillId="25" borderId="38" xfId="0" applyFont="1" applyFill="1" applyBorder="1" applyAlignment="1">
      <alignment horizontal="left" vertical="center" wrapText="1"/>
    </xf>
    <xf numFmtId="0" fontId="24" fillId="25" borderId="84" xfId="0" applyFont="1" applyFill="1" applyBorder="1" applyAlignment="1">
      <alignment horizontal="left" vertical="center" wrapText="1"/>
    </xf>
    <xf numFmtId="0" fontId="0" fillId="0" borderId="0" xfId="0" applyAlignment="1" applyProtection="1">
      <alignment horizontal="left" vertical="top" wrapText="1"/>
    </xf>
    <xf numFmtId="0" fontId="11" fillId="0" borderId="0" xfId="32"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43" fillId="25" borderId="93" xfId="0" applyFont="1" applyFill="1" applyBorder="1" applyAlignment="1">
      <alignment horizontal="center" vertical="center" wrapText="1"/>
    </xf>
    <xf numFmtId="0" fontId="43" fillId="25" borderId="96" xfId="0" applyFont="1" applyFill="1" applyBorder="1" applyAlignment="1">
      <alignment horizontal="center" vertical="center" wrapText="1"/>
    </xf>
    <xf numFmtId="0" fontId="43" fillId="25" borderId="41" xfId="0" applyFont="1" applyFill="1" applyBorder="1" applyAlignment="1">
      <alignment horizontal="center" vertical="center" wrapText="1"/>
    </xf>
    <xf numFmtId="0" fontId="44" fillId="25" borderId="62" xfId="0" applyFont="1" applyFill="1" applyBorder="1" applyAlignment="1">
      <alignment horizontal="center" vertical="center" wrapText="1"/>
    </xf>
    <xf numFmtId="0" fontId="44" fillId="25" borderId="67" xfId="0" applyFont="1" applyFill="1" applyBorder="1" applyAlignment="1">
      <alignment horizontal="center" vertical="center" wrapText="1"/>
    </xf>
    <xf numFmtId="0" fontId="45" fillId="25" borderId="63" xfId="0" applyFont="1" applyFill="1" applyBorder="1" applyAlignment="1">
      <alignment horizontal="center" vertical="center" wrapText="1"/>
    </xf>
    <xf numFmtId="0" fontId="44" fillId="25" borderId="0" xfId="0" applyFont="1" applyFill="1" applyBorder="1" applyAlignment="1">
      <alignment horizontal="center" vertical="center" wrapText="1"/>
    </xf>
    <xf numFmtId="0" fontId="44" fillId="25" borderId="19" xfId="0" applyFont="1" applyFill="1" applyBorder="1" applyAlignment="1">
      <alignment horizontal="center" vertical="center" wrapText="1"/>
    </xf>
    <xf numFmtId="0" fontId="44" fillId="25" borderId="95" xfId="0" applyFont="1" applyFill="1" applyBorder="1" applyAlignment="1">
      <alignment horizontal="center" vertical="center" wrapText="1"/>
    </xf>
    <xf numFmtId="0" fontId="44" fillId="25" borderId="69" xfId="0" applyFont="1" applyFill="1" applyBorder="1" applyAlignment="1">
      <alignment horizontal="center" vertical="center" wrapText="1"/>
    </xf>
    <xf numFmtId="0" fontId="44" fillId="25" borderId="82" xfId="0" applyFont="1" applyFill="1" applyBorder="1" applyAlignment="1">
      <alignment horizontal="center" vertical="center" wrapText="1"/>
    </xf>
    <xf numFmtId="0" fontId="43" fillId="25" borderId="45" xfId="0" applyFont="1" applyFill="1" applyBorder="1" applyAlignment="1">
      <alignment horizontal="center" vertical="center" wrapText="1"/>
    </xf>
    <xf numFmtId="0" fontId="43" fillId="25" borderId="53"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65" xfId="0" applyFont="1" applyFill="1" applyBorder="1" applyAlignment="1">
      <alignment horizontal="center" vertical="center" wrapText="1"/>
    </xf>
    <xf numFmtId="0" fontId="43" fillId="25" borderId="66" xfId="0" applyFont="1" applyFill="1" applyBorder="1" applyAlignment="1">
      <alignment horizontal="center" vertical="center" wrapText="1"/>
    </xf>
    <xf numFmtId="0" fontId="43" fillId="25" borderId="60" xfId="0" applyFont="1" applyFill="1" applyBorder="1" applyAlignment="1">
      <alignment horizontal="center" vertical="center" wrapText="1"/>
    </xf>
    <xf numFmtId="0" fontId="43" fillId="25" borderId="40" xfId="0" applyFont="1" applyFill="1" applyBorder="1" applyAlignment="1">
      <alignment horizontal="center" vertical="center" wrapText="1"/>
    </xf>
    <xf numFmtId="0" fontId="0" fillId="0" borderId="0" xfId="0" applyAlignment="1">
      <alignment horizontal="left" vertical="top" wrapText="1"/>
    </xf>
    <xf numFmtId="0" fontId="36" fillId="0" borderId="0" xfId="0" applyNumberFormat="1" applyFont="1" applyAlignment="1" applyProtection="1">
      <alignment horizontal="left" vertical="top" wrapText="1"/>
    </xf>
    <xf numFmtId="0" fontId="0" fillId="0" borderId="0" xfId="0" applyNumberFormat="1" applyAlignment="1" applyProtection="1">
      <alignment horizontal="left" vertical="top" wrapText="1"/>
    </xf>
    <xf numFmtId="0" fontId="49" fillId="25" borderId="90" xfId="0" applyFont="1" applyFill="1" applyBorder="1" applyAlignment="1" applyProtection="1">
      <alignment horizontal="center" wrapText="1"/>
    </xf>
    <xf numFmtId="0" fontId="23" fillId="0" borderId="103" xfId="0" applyFont="1" applyBorder="1" applyAlignment="1" applyProtection="1">
      <alignment horizontal="center"/>
    </xf>
    <xf numFmtId="0" fontId="23" fillId="0" borderId="79" xfId="0" applyFont="1" applyBorder="1" applyAlignment="1" applyProtection="1">
      <alignment horizontal="center"/>
    </xf>
    <xf numFmtId="0" fontId="23" fillId="0" borderId="104" xfId="0" applyFont="1" applyBorder="1" applyAlignment="1" applyProtection="1">
      <alignment horizontal="center"/>
    </xf>
    <xf numFmtId="0" fontId="50" fillId="0" borderId="12" xfId="0" applyFont="1" applyBorder="1" applyAlignment="1" applyProtection="1">
      <alignment horizontal="left"/>
      <protection locked="0"/>
    </xf>
    <xf numFmtId="0" fontId="50" fillId="0" borderId="47" xfId="0" applyFont="1" applyBorder="1" applyAlignment="1" applyProtection="1">
      <alignment horizontal="left"/>
      <protection locked="0"/>
    </xf>
    <xf numFmtId="3" fontId="28" fillId="0" borderId="63" xfId="0" applyNumberFormat="1" applyFont="1" applyFill="1" applyBorder="1" applyAlignment="1" applyProtection="1">
      <alignment horizontal="left" vertical="top" wrapText="1"/>
    </xf>
    <xf numFmtId="3" fontId="28" fillId="0" borderId="0" xfId="0" applyNumberFormat="1" applyFont="1" applyFill="1" applyBorder="1" applyAlignment="1" applyProtection="1">
      <alignment horizontal="left" vertical="top" wrapText="1"/>
    </xf>
    <xf numFmtId="0" fontId="50" fillId="0" borderId="66" xfId="0" applyFont="1" applyBorder="1" applyAlignment="1" applyProtection="1">
      <alignment horizontal="left"/>
      <protection locked="0"/>
    </xf>
    <xf numFmtId="0" fontId="50" fillId="0" borderId="40" xfId="0" applyFont="1" applyBorder="1" applyAlignment="1" applyProtection="1">
      <alignment horizontal="left"/>
      <protection locked="0"/>
    </xf>
    <xf numFmtId="0" fontId="50" fillId="0" borderId="88" xfId="0" applyFont="1" applyBorder="1" applyAlignment="1" applyProtection="1">
      <alignment horizontal="left"/>
      <protection locked="0"/>
    </xf>
    <xf numFmtId="0" fontId="50" fillId="0" borderId="48" xfId="0" applyFont="1" applyBorder="1" applyAlignment="1" applyProtection="1">
      <alignment horizontal="left"/>
      <protection locked="0"/>
    </xf>
    <xf numFmtId="0" fontId="50" fillId="0" borderId="22" xfId="0" applyFont="1" applyBorder="1" applyAlignment="1" applyProtection="1">
      <alignment horizontal="left"/>
      <protection locked="0"/>
    </xf>
    <xf numFmtId="0" fontId="45" fillId="25" borderId="62" xfId="0" applyFont="1" applyFill="1" applyBorder="1" applyAlignment="1" applyProtection="1">
      <alignment horizontal="center" vertical="center" wrapText="1"/>
    </xf>
    <xf numFmtId="0" fontId="45" fillId="25" borderId="72" xfId="0" applyFont="1" applyFill="1" applyBorder="1" applyAlignment="1" applyProtection="1">
      <alignment horizontal="center" vertical="center" wrapText="1"/>
    </xf>
    <xf numFmtId="0" fontId="50" fillId="0" borderId="46" xfId="0" applyFont="1" applyBorder="1" applyAlignment="1" applyProtection="1">
      <alignment horizontal="left"/>
      <protection locked="0"/>
    </xf>
    <xf numFmtId="0" fontId="50" fillId="0" borderId="18" xfId="0" applyFont="1" applyBorder="1" applyAlignment="1" applyProtection="1">
      <alignment horizontal="left"/>
      <protection locked="0"/>
    </xf>
    <xf numFmtId="0" fontId="45" fillId="25" borderId="22" xfId="0" applyFont="1" applyFill="1" applyBorder="1" applyAlignment="1" applyProtection="1">
      <alignment horizontal="center" vertical="center"/>
    </xf>
    <xf numFmtId="0" fontId="49" fillId="25" borderId="89" xfId="0" applyFont="1" applyFill="1" applyBorder="1" applyAlignment="1" applyProtection="1">
      <alignment horizontal="center" vertical="center" wrapText="1"/>
    </xf>
    <xf numFmtId="0" fontId="45" fillId="25" borderId="42" xfId="0" applyFont="1" applyFill="1" applyBorder="1" applyAlignment="1" applyProtection="1">
      <alignment horizontal="left" vertical="center"/>
    </xf>
    <xf numFmtId="0" fontId="45" fillId="25" borderId="59" xfId="0" applyFont="1" applyFill="1" applyBorder="1" applyAlignment="1" applyProtection="1">
      <alignment horizontal="left" vertical="center"/>
    </xf>
    <xf numFmtId="0" fontId="45" fillId="25" borderId="48" xfId="0" applyFont="1" applyFill="1" applyBorder="1" applyAlignment="1" applyProtection="1">
      <alignment horizontal="left" vertical="center"/>
    </xf>
    <xf numFmtId="0" fontId="45" fillId="25" borderId="22" xfId="0" applyFont="1" applyFill="1" applyBorder="1" applyAlignment="1" applyProtection="1">
      <alignment horizontal="left" vertical="center"/>
    </xf>
    <xf numFmtId="0" fontId="45" fillId="25" borderId="67" xfId="0" applyFont="1" applyFill="1" applyBorder="1" applyAlignment="1" applyProtection="1">
      <alignment horizontal="left" vertical="center"/>
    </xf>
    <xf numFmtId="0" fontId="45" fillId="25" borderId="85" xfId="0" applyFont="1" applyFill="1" applyBorder="1" applyAlignment="1" applyProtection="1">
      <alignment horizontal="left" vertical="center"/>
    </xf>
    <xf numFmtId="0" fontId="45" fillId="25" borderId="16" xfId="0" applyFont="1" applyFill="1" applyBorder="1" applyAlignment="1" applyProtection="1">
      <alignment horizontal="left" vertical="center"/>
    </xf>
    <xf numFmtId="0" fontId="45" fillId="25" borderId="89" xfId="0" applyFont="1" applyFill="1" applyBorder="1" applyAlignment="1" applyProtection="1">
      <alignment horizontal="center" vertical="center" wrapText="1"/>
    </xf>
    <xf numFmtId="0" fontId="36" fillId="0" borderId="77" xfId="0" applyFont="1" applyBorder="1" applyAlignment="1" applyProtection="1">
      <alignment horizontal="left" wrapText="1"/>
    </xf>
    <xf numFmtId="0" fontId="36" fillId="0" borderId="16" xfId="0" applyFont="1" applyBorder="1" applyAlignment="1" applyProtection="1">
      <alignment horizontal="left" wrapText="1"/>
    </xf>
    <xf numFmtId="0" fontId="36" fillId="0" borderId="58" xfId="0" applyFont="1" applyBorder="1" applyAlignment="1" applyProtection="1">
      <alignment horizontal="left" wrapText="1"/>
    </xf>
    <xf numFmtId="0" fontId="24" fillId="25" borderId="62" xfId="0" applyFont="1" applyFill="1" applyBorder="1" applyAlignment="1" applyProtection="1">
      <alignment horizontal="left" indent="1"/>
    </xf>
    <xf numFmtId="0" fontId="24" fillId="25" borderId="67" xfId="0" applyFont="1" applyFill="1" applyBorder="1" applyAlignment="1" applyProtection="1">
      <alignment horizontal="left" indent="1"/>
    </xf>
    <xf numFmtId="0" fontId="24" fillId="25" borderId="38" xfId="0" applyFont="1" applyFill="1" applyBorder="1" applyAlignment="1" applyProtection="1">
      <alignment horizontal="left" indent="1"/>
    </xf>
    <xf numFmtId="0" fontId="24" fillId="25" borderId="84" xfId="0" applyFont="1" applyFill="1" applyBorder="1" applyAlignment="1" applyProtection="1">
      <alignment horizontal="left" indent="1"/>
    </xf>
    <xf numFmtId="0" fontId="36" fillId="0" borderId="63"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6" fillId="0" borderId="19" xfId="0" applyFont="1" applyBorder="1" applyAlignment="1" applyProtection="1">
      <alignment horizontal="left" vertical="center" wrapText="1"/>
    </xf>
    <xf numFmtId="0" fontId="22" fillId="25" borderId="62" xfId="0" applyFont="1" applyFill="1" applyBorder="1" applyAlignment="1" applyProtection="1">
      <alignment horizontal="left" indent="1"/>
    </xf>
    <xf numFmtId="0" fontId="22" fillId="25" borderId="67" xfId="0" applyFont="1" applyFill="1" applyBorder="1" applyAlignment="1" applyProtection="1">
      <alignment horizontal="left" indent="1"/>
    </xf>
    <xf numFmtId="0" fontId="22" fillId="25" borderId="72" xfId="0" applyFont="1" applyFill="1" applyBorder="1" applyAlignment="1" applyProtection="1">
      <alignment horizontal="left" indent="1"/>
    </xf>
    <xf numFmtId="3" fontId="42" fillId="0" borderId="18" xfId="0" applyNumberFormat="1" applyFont="1" applyBorder="1" applyAlignment="1" applyProtection="1">
      <alignment horizontal="center" vertical="center" wrapText="1"/>
      <protection locked="0"/>
    </xf>
    <xf numFmtId="0" fontId="42" fillId="25" borderId="46" xfId="0" applyFont="1" applyFill="1" applyBorder="1" applyAlignment="1" applyProtection="1">
      <alignment horizontal="left" vertical="center" wrapText="1" shrinkToFit="1"/>
    </xf>
    <xf numFmtId="0" fontId="42" fillId="25" borderId="18" xfId="0" applyFont="1" applyFill="1" applyBorder="1" applyAlignment="1" applyProtection="1">
      <alignment horizontal="left" vertical="center" wrapText="1" shrinkToFit="1"/>
    </xf>
    <xf numFmtId="0" fontId="36" fillId="25" borderId="18" xfId="0" applyFont="1" applyFill="1" applyBorder="1" applyAlignment="1" applyProtection="1">
      <alignment horizontal="center"/>
    </xf>
    <xf numFmtId="0" fontId="48" fillId="0" borderId="18" xfId="0" applyFont="1" applyBorder="1" applyAlignment="1" applyProtection="1">
      <alignment horizontal="center"/>
      <protection locked="0"/>
    </xf>
    <xf numFmtId="0" fontId="48" fillId="0" borderId="13" xfId="0" applyFont="1" applyBorder="1" applyAlignment="1" applyProtection="1">
      <alignment horizontal="center"/>
      <protection locked="0"/>
    </xf>
    <xf numFmtId="0" fontId="47" fillId="25" borderId="18" xfId="0" applyFont="1" applyFill="1" applyBorder="1" applyAlignment="1" applyProtection="1">
      <alignment horizontal="center" vertical="center" wrapText="1"/>
    </xf>
    <xf numFmtId="0" fontId="47" fillId="25" borderId="13" xfId="0" applyFont="1" applyFill="1" applyBorder="1" applyAlignment="1" applyProtection="1">
      <alignment horizontal="center" vertical="center" wrapText="1"/>
    </xf>
    <xf numFmtId="0" fontId="42" fillId="25" borderId="18" xfId="0" applyFont="1" applyFill="1" applyBorder="1" applyAlignment="1" applyProtection="1">
      <alignment horizontal="center" vertical="center" wrapText="1"/>
    </xf>
    <xf numFmtId="4" fontId="26" fillId="24" borderId="18" xfId="0" applyNumberFormat="1" applyFont="1" applyFill="1" applyBorder="1" applyAlignment="1" applyProtection="1">
      <alignment horizontal="center" vertical="center" wrapText="1"/>
    </xf>
    <xf numFmtId="0" fontId="51" fillId="0" borderId="68" xfId="0" applyFont="1" applyBorder="1" applyAlignment="1" applyProtection="1">
      <alignment vertical="top" wrapText="1"/>
    </xf>
    <xf numFmtId="0" fontId="51" fillId="0" borderId="17" xfId="0" applyFont="1" applyBorder="1" applyAlignment="1" applyProtection="1">
      <alignment vertical="top" wrapText="1"/>
    </xf>
    <xf numFmtId="0" fontId="24" fillId="25" borderId="45" xfId="0" applyFont="1" applyFill="1" applyBorder="1" applyAlignment="1" applyProtection="1">
      <alignment horizontal="center" vertical="center" wrapText="1"/>
    </xf>
    <xf numFmtId="0" fontId="24" fillId="25" borderId="35" xfId="0" applyFont="1" applyFill="1" applyBorder="1" applyAlignment="1" applyProtection="1">
      <alignment horizontal="center" vertical="center" wrapText="1"/>
    </xf>
    <xf numFmtId="0" fontId="24" fillId="25" borderId="37" xfId="0" applyFont="1" applyFill="1" applyBorder="1" applyAlignment="1" applyProtection="1">
      <alignment horizontal="center" vertical="top" wrapText="1"/>
    </xf>
    <xf numFmtId="0" fontId="24" fillId="25" borderId="38" xfId="0" applyFont="1" applyFill="1" applyBorder="1" applyAlignment="1" applyProtection="1">
      <alignment horizontal="center" vertical="top" wrapText="1"/>
    </xf>
    <xf numFmtId="0" fontId="22" fillId="25" borderId="62" xfId="0" applyFont="1" applyFill="1" applyBorder="1" applyAlignment="1" applyProtection="1">
      <alignment horizontal="center" vertical="center" wrapText="1"/>
    </xf>
    <xf numFmtId="0" fontId="22" fillId="25" borderId="67" xfId="0" applyFont="1" applyFill="1" applyBorder="1" applyAlignment="1" applyProtection="1">
      <alignment horizontal="center" vertical="center" wrapText="1"/>
    </xf>
    <xf numFmtId="0" fontId="22" fillId="25" borderId="77" xfId="0" applyFont="1" applyFill="1" applyBorder="1" applyAlignment="1" applyProtection="1">
      <alignment horizontal="center" vertical="center" wrapText="1"/>
    </xf>
    <xf numFmtId="0" fontId="22" fillId="25" borderId="16" xfId="0" applyFont="1" applyFill="1" applyBorder="1" applyAlignment="1" applyProtection="1">
      <alignment horizontal="center" vertical="center" wrapText="1"/>
    </xf>
    <xf numFmtId="0" fontId="22" fillId="25" borderId="37" xfId="0" applyFont="1" applyFill="1" applyBorder="1" applyAlignment="1" applyProtection="1">
      <alignment horizontal="left" vertical="center" wrapText="1"/>
    </xf>
    <xf numFmtId="0" fontId="22" fillId="25" borderId="38" xfId="0" applyFont="1" applyFill="1" applyBorder="1" applyAlignment="1" applyProtection="1">
      <alignment horizontal="left" vertical="center" wrapText="1"/>
    </xf>
    <xf numFmtId="0" fontId="22" fillId="25" borderId="84" xfId="0" applyFont="1" applyFill="1" applyBorder="1" applyAlignment="1" applyProtection="1">
      <alignment horizontal="left" vertical="center" wrapText="1"/>
    </xf>
    <xf numFmtId="0" fontId="42" fillId="24" borderId="37" xfId="0" applyFont="1" applyFill="1" applyBorder="1" applyAlignment="1" applyProtection="1">
      <alignment horizontal="left" vertical="top" wrapText="1"/>
    </xf>
    <xf numFmtId="0" fontId="42" fillId="24" borderId="38" xfId="0" applyFont="1" applyFill="1" applyBorder="1" applyAlignment="1" applyProtection="1">
      <alignment horizontal="left" vertical="top" wrapText="1"/>
    </xf>
    <xf numFmtId="0" fontId="42" fillId="24" borderId="99" xfId="0" applyFont="1" applyFill="1" applyBorder="1" applyAlignment="1" applyProtection="1">
      <alignment horizontal="left" vertical="top" wrapText="1"/>
    </xf>
    <xf numFmtId="0" fontId="36" fillId="25" borderId="42" xfId="0" applyFont="1" applyFill="1" applyBorder="1" applyAlignment="1" applyProtection="1">
      <alignment horizontal="center" vertical="center" wrapText="1"/>
    </xf>
    <xf numFmtId="0" fontId="36" fillId="25" borderId="59" xfId="0" applyFont="1" applyFill="1" applyBorder="1" applyAlignment="1" applyProtection="1">
      <alignment horizontal="center" vertical="center" wrapText="1"/>
    </xf>
    <xf numFmtId="0" fontId="36" fillId="25" borderId="46" xfId="0" applyFont="1" applyFill="1" applyBorder="1" applyAlignment="1" applyProtection="1">
      <alignment horizontal="center" vertical="center" wrapText="1"/>
    </xf>
    <xf numFmtId="0" fontId="36" fillId="25" borderId="18" xfId="0" applyFont="1" applyFill="1" applyBorder="1" applyAlignment="1" applyProtection="1">
      <alignment horizontal="center" vertical="center" wrapText="1"/>
    </xf>
    <xf numFmtId="0" fontId="36" fillId="25" borderId="48" xfId="0" applyFont="1" applyFill="1" applyBorder="1" applyAlignment="1" applyProtection="1">
      <alignment horizontal="center" vertical="center" wrapText="1"/>
    </xf>
    <xf numFmtId="0" fontId="36" fillId="25" borderId="22" xfId="0" applyFont="1" applyFill="1" applyBorder="1" applyAlignment="1" applyProtection="1">
      <alignment horizontal="center" vertical="center" wrapText="1"/>
    </xf>
    <xf numFmtId="0" fontId="28" fillId="0" borderId="68" xfId="0" applyFont="1" applyBorder="1" applyAlignment="1" applyProtection="1">
      <alignment vertical="top" wrapText="1"/>
    </xf>
    <xf numFmtId="0" fontId="28" fillId="0" borderId="17" xfId="0" applyFont="1" applyBorder="1" applyAlignment="1" applyProtection="1">
      <alignment vertical="top" wrapText="1"/>
    </xf>
    <xf numFmtId="0" fontId="24" fillId="25" borderId="84" xfId="0" applyFont="1" applyFill="1" applyBorder="1" applyAlignment="1" applyProtection="1">
      <alignment horizontal="center" vertical="top" wrapText="1"/>
    </xf>
    <xf numFmtId="0" fontId="22" fillId="25" borderId="62" xfId="0" applyFont="1" applyFill="1" applyBorder="1" applyAlignment="1" applyProtection="1">
      <alignment horizontal="left" vertical="center" wrapText="1" indent="1"/>
    </xf>
    <xf numFmtId="0" fontId="22" fillId="25" borderId="67" xfId="0" applyFont="1" applyFill="1" applyBorder="1" applyAlignment="1" applyProtection="1">
      <alignment horizontal="left" vertical="center" wrapText="1" indent="1"/>
    </xf>
    <xf numFmtId="0" fontId="22" fillId="25" borderId="72" xfId="0" applyFont="1" applyFill="1" applyBorder="1" applyAlignment="1" applyProtection="1">
      <alignment horizontal="left" vertical="center" wrapText="1" indent="1"/>
    </xf>
    <xf numFmtId="0" fontId="22" fillId="25" borderId="77" xfId="0" applyFont="1" applyFill="1" applyBorder="1" applyAlignment="1" applyProtection="1">
      <alignment horizontal="left" vertical="center" wrapText="1" indent="1"/>
    </xf>
    <xf numFmtId="0" fontId="22" fillId="25" borderId="16" xfId="0" applyFont="1" applyFill="1" applyBorder="1" applyAlignment="1" applyProtection="1">
      <alignment horizontal="left" vertical="center" wrapText="1" indent="1"/>
    </xf>
    <xf numFmtId="0" fontId="22" fillId="25" borderId="58" xfId="0" applyFont="1" applyFill="1" applyBorder="1" applyAlignment="1" applyProtection="1">
      <alignment horizontal="left" vertical="center" wrapText="1" indent="1"/>
    </xf>
    <xf numFmtId="0" fontId="23" fillId="0" borderId="10" xfId="0" applyFont="1" applyBorder="1" applyAlignment="1" applyProtection="1">
      <alignment vertical="top" wrapText="1"/>
    </xf>
    <xf numFmtId="0" fontId="24" fillId="25" borderId="53" xfId="0" applyFont="1" applyFill="1" applyBorder="1" applyAlignment="1" applyProtection="1">
      <alignment horizontal="center" vertical="center" wrapText="1"/>
    </xf>
    <xf numFmtId="0" fontId="52" fillId="25" borderId="105" xfId="0" applyFont="1" applyFill="1" applyBorder="1" applyAlignment="1">
      <alignment horizontal="left" vertical="center" indent="1"/>
    </xf>
    <xf numFmtId="0" fontId="52" fillId="25" borderId="106" xfId="0" applyFont="1" applyFill="1" applyBorder="1" applyAlignment="1">
      <alignment horizontal="left" vertical="center" indent="1"/>
    </xf>
    <xf numFmtId="0" fontId="52" fillId="25" borderId="107" xfId="0" applyFont="1" applyFill="1" applyBorder="1" applyAlignment="1">
      <alignment horizontal="left" vertical="center" indent="1"/>
    </xf>
    <xf numFmtId="0" fontId="24" fillId="25" borderId="13" xfId="0" applyFont="1" applyFill="1" applyBorder="1" applyAlignment="1">
      <alignment horizontal="left" vertical="center" wrapText="1" indent="2"/>
    </xf>
    <xf numFmtId="0" fontId="23" fillId="25" borderId="13" xfId="0" applyFont="1" applyFill="1" applyBorder="1" applyAlignment="1">
      <alignment horizontal="left" vertical="center" wrapText="1" indent="2"/>
    </xf>
    <xf numFmtId="0" fontId="24" fillId="25" borderId="91" xfId="0" applyFont="1" applyFill="1" applyBorder="1" applyAlignment="1">
      <alignment horizontal="left" vertical="center" wrapText="1" indent="2"/>
    </xf>
    <xf numFmtId="0" fontId="24" fillId="25" borderId="66" xfId="0" applyFont="1" applyFill="1" applyBorder="1" applyAlignment="1">
      <alignment horizontal="left" vertical="center" wrapText="1" indent="2"/>
    </xf>
    <xf numFmtId="0" fontId="24" fillId="25" borderId="30" xfId="0" applyFont="1" applyFill="1" applyBorder="1" applyAlignment="1">
      <alignment horizontal="left" vertical="center" wrapText="1" indent="2"/>
    </xf>
    <xf numFmtId="0" fontId="23" fillId="25" borderId="56" xfId="0" applyFont="1" applyFill="1" applyBorder="1" applyAlignment="1">
      <alignment horizontal="left" vertical="center" wrapText="1" indent="2"/>
    </xf>
    <xf numFmtId="0" fontId="23" fillId="25" borderId="24" xfId="0" applyFont="1" applyFill="1" applyBorder="1" applyAlignment="1">
      <alignment horizontal="left" vertical="center" wrapText="1" indent="2"/>
    </xf>
    <xf numFmtId="0" fontId="24" fillId="25" borderId="48" xfId="0" applyFont="1" applyFill="1" applyBorder="1" applyAlignment="1">
      <alignment horizontal="left" vertical="center" wrapText="1" indent="2"/>
    </xf>
    <xf numFmtId="0" fontId="24" fillId="25" borderId="15" xfId="0" applyFont="1" applyFill="1" applyBorder="1" applyAlignment="1">
      <alignment horizontal="left" vertical="center" wrapText="1" indent="2"/>
    </xf>
    <xf numFmtId="0" fontId="24" fillId="25" borderId="90" xfId="0" applyFont="1" applyFill="1" applyBorder="1" applyAlignment="1">
      <alignment horizontal="left" vertical="center" wrapText="1" indent="2"/>
    </xf>
    <xf numFmtId="0" fontId="50" fillId="0" borderId="0" xfId="0" applyFont="1" applyBorder="1" applyAlignment="1">
      <alignment horizontal="left" vertical="top" wrapText="1"/>
    </xf>
    <xf numFmtId="0" fontId="24" fillId="25" borderId="37" xfId="0" applyFont="1" applyFill="1" applyBorder="1" applyAlignment="1">
      <alignment horizontal="left" vertical="center" wrapText="1" indent="2"/>
    </xf>
    <xf numFmtId="0" fontId="24" fillId="25" borderId="84" xfId="0" applyFont="1" applyFill="1" applyBorder="1" applyAlignment="1">
      <alignment horizontal="left" vertical="center" wrapText="1" indent="2"/>
    </xf>
    <xf numFmtId="0" fontId="1" fillId="0" borderId="63" xfId="0" applyFont="1" applyBorder="1" applyAlignment="1" applyProtection="1">
      <alignment horizontal="left" vertical="top" wrapText="1" indent="2"/>
    </xf>
    <xf numFmtId="0" fontId="1" fillId="0" borderId="0" xfId="0" applyFont="1" applyBorder="1" applyAlignment="1" applyProtection="1">
      <alignment horizontal="left" vertical="top" wrapText="1" indent="2"/>
    </xf>
    <xf numFmtId="0" fontId="1" fillId="0" borderId="19" xfId="0" applyFont="1" applyBorder="1" applyAlignment="1" applyProtection="1">
      <alignment horizontal="left" vertical="top" wrapText="1" indent="2"/>
    </xf>
    <xf numFmtId="0" fontId="1" fillId="0" borderId="77" xfId="0" applyFont="1" applyBorder="1" applyAlignment="1" applyProtection="1">
      <alignment horizontal="left" vertical="top" wrapText="1" indent="2"/>
    </xf>
    <xf numFmtId="0" fontId="1" fillId="0" borderId="16" xfId="0" applyFont="1" applyBorder="1" applyAlignment="1" applyProtection="1">
      <alignment horizontal="left" vertical="top" wrapText="1" indent="2"/>
    </xf>
    <xf numFmtId="0" fontId="1" fillId="0" borderId="58" xfId="0" applyFont="1" applyBorder="1" applyAlignment="1" applyProtection="1">
      <alignment horizontal="left" vertical="top" wrapText="1" indent="2"/>
    </xf>
    <xf numFmtId="0" fontId="1" fillId="0" borderId="61"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9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69"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63" xfId="0" applyBorder="1" applyAlignment="1" applyProtection="1">
      <alignment horizontal="left" vertical="top" wrapText="1" indent="2"/>
    </xf>
    <xf numFmtId="0" fontId="0" fillId="0" borderId="0" xfId="0" applyBorder="1" applyAlignment="1" applyProtection="1">
      <alignment horizontal="left" vertical="top" wrapText="1" indent="2"/>
    </xf>
    <xf numFmtId="0" fontId="0" fillId="0" borderId="19" xfId="0" applyBorder="1" applyAlignment="1" applyProtection="1">
      <alignment horizontal="left" vertical="top" wrapText="1" indent="2"/>
    </xf>
    <xf numFmtId="0" fontId="0" fillId="0" borderId="0" xfId="0" applyBorder="1" applyAlignment="1" applyProtection="1">
      <alignment wrapText="1"/>
    </xf>
    <xf numFmtId="0" fontId="0" fillId="0" borderId="19" xfId="0" applyBorder="1" applyAlignment="1" applyProtection="1">
      <alignment wrapText="1"/>
    </xf>
    <xf numFmtId="0" fontId="22" fillId="25" borderId="62" xfId="0" applyFont="1" applyFill="1" applyBorder="1" applyAlignment="1" applyProtection="1">
      <alignment horizontal="left" vertical="center" wrapText="1" indent="2"/>
    </xf>
    <xf numFmtId="0" fontId="22" fillId="25" borderId="67" xfId="0" applyFont="1" applyFill="1" applyBorder="1" applyAlignment="1" applyProtection="1">
      <alignment horizontal="left" vertical="center" wrapText="1" indent="2"/>
    </xf>
    <xf numFmtId="0" fontId="22" fillId="25" borderId="72" xfId="0" applyFont="1" applyFill="1" applyBorder="1" applyAlignment="1" applyProtection="1">
      <alignment horizontal="left" vertical="center" wrapText="1" indent="2"/>
    </xf>
    <xf numFmtId="0" fontId="22" fillId="25" borderId="77" xfId="0" applyFont="1" applyFill="1" applyBorder="1" applyAlignment="1" applyProtection="1">
      <alignment horizontal="left" vertical="center" wrapText="1" indent="2"/>
    </xf>
    <xf numFmtId="0" fontId="22" fillId="25" borderId="16" xfId="0" applyFont="1" applyFill="1" applyBorder="1" applyAlignment="1" applyProtection="1">
      <alignment horizontal="left" vertical="center" wrapText="1" indent="2"/>
    </xf>
    <xf numFmtId="0" fontId="22" fillId="25" borderId="58" xfId="0" applyFont="1" applyFill="1" applyBorder="1" applyAlignment="1" applyProtection="1">
      <alignment horizontal="left" vertical="center" wrapText="1" indent="2"/>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xr:uid="{00000000-0005-0000-0000-000012000000}"/>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ellStyle name="Incorrecto" xfId="33" builtinId="27" customBuiltin="1"/>
    <cellStyle name="Neutral" xfId="34" builtinId="28" customBuiltin="1"/>
    <cellStyle name="Normal" xfId="0" builtinId="0"/>
    <cellStyle name="Notas" xfId="35" builtinId="10" customBuiltin="1"/>
    <cellStyle name="Porcentaje" xfId="36" builtinId="5"/>
    <cellStyle name="Salida" xfId="37" builtinId="21" customBuiltin="1"/>
    <cellStyle name="Texto de advertencia" xfId="38" builtinId="11" customBuiltin="1"/>
    <cellStyle name="Texto explicativo" xfId="39" builtinId="53" customBuiltin="1"/>
    <cellStyle name="Título" xfId="40" builtinId="15" customBuiltin="1"/>
    <cellStyle name="Título 1" xfId="41" xr:uid="{00000000-0005-0000-0000-000029000000}"/>
    <cellStyle name="Título 2" xfId="42" builtinId="17" customBuiltin="1"/>
    <cellStyle name="Título 3" xfId="43" builtinId="18" customBuiltin="1"/>
    <cellStyle name="Total" xfId="44" builtinId="25" customBuiltin="1"/>
  </cellStyles>
  <dxfs count="25">
    <dxf>
      <fill>
        <patternFill>
          <bgColor indexed="10"/>
        </patternFill>
      </fill>
    </dxf>
    <dxf>
      <font>
        <b/>
        <i val="0"/>
        <color rgb="FFFFFF00"/>
      </font>
      <fill>
        <patternFill>
          <bgColor rgb="FFFF0000"/>
        </patternFill>
      </fill>
    </dxf>
    <dxf>
      <font>
        <color rgb="FFFF0000"/>
      </font>
      <fill>
        <patternFill>
          <bgColor rgb="FFFFFF00"/>
        </patternFill>
      </fill>
    </dxf>
    <dxf>
      <fill>
        <patternFill>
          <bgColor theme="9" tint="0.59996337778862885"/>
        </patternFill>
      </fill>
    </dxf>
    <dxf>
      <fill>
        <patternFill>
          <bgColor rgb="FF92D050"/>
        </patternFill>
      </fill>
    </dxf>
    <dxf>
      <font>
        <color theme="0"/>
      </font>
      <fill>
        <patternFill>
          <bgColor rgb="FFFF0000"/>
        </patternFill>
      </fill>
    </dxf>
    <dxf>
      <font>
        <color rgb="FFFFFF00"/>
      </font>
      <fill>
        <patternFill>
          <bgColor rgb="FFFF0000"/>
        </patternFill>
      </fill>
    </dxf>
    <dxf>
      <fill>
        <patternFill>
          <bgColor rgb="FF92D050"/>
        </patternFill>
      </fill>
    </dxf>
    <dxf>
      <font>
        <color theme="0"/>
      </font>
      <fill>
        <patternFill>
          <bgColor rgb="FFFF0000"/>
        </patternFill>
      </fill>
    </dxf>
    <dxf>
      <fill>
        <patternFill>
          <bgColor theme="9" tint="0.59996337778862885"/>
        </patternFill>
      </fill>
    </dxf>
    <dxf>
      <font>
        <color theme="0"/>
      </font>
      <fill>
        <patternFill>
          <bgColor rgb="FFFF0000"/>
        </patternFill>
      </fill>
    </dxf>
    <dxf>
      <fill>
        <patternFill>
          <bgColor rgb="FF92D050"/>
        </patternFill>
      </fill>
    </dxf>
    <dxf>
      <fill>
        <patternFill>
          <bgColor theme="9" tint="0.59996337778862885"/>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7</xdr:row>
          <xdr:rowOff>123825</xdr:rowOff>
        </xdr:from>
        <xdr:to>
          <xdr:col>1</xdr:col>
          <xdr:colOff>0</xdr:colOff>
          <xdr:row>9</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1000" b="0" i="0" u="none" strike="noStrike" baseline="0">
                  <a:solidFill>
                    <a:srgbClr val="000000"/>
                  </a:solidFill>
                  <a:latin typeface="Arial"/>
                  <a:cs typeface="Arial"/>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8</xdr:row>
          <xdr:rowOff>123825</xdr:rowOff>
        </xdr:from>
        <xdr:to>
          <xdr:col>1</xdr:col>
          <xdr:colOff>0</xdr:colOff>
          <xdr:row>10</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B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1000" b="0" i="0" u="none" strike="noStrike" baseline="0">
                  <a:solidFill>
                    <a:srgbClr val="000000"/>
                  </a:solidFill>
                  <a:latin typeface="Arial"/>
                  <a:cs typeface="Arial"/>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123825</xdr:rowOff>
        </xdr:from>
        <xdr:to>
          <xdr:col>1</xdr:col>
          <xdr:colOff>0</xdr:colOff>
          <xdr:row>31</xdr:row>
          <xdr:rowOff>28575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B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1000" b="0" i="0" u="none" strike="noStrike" baseline="0">
                  <a:solidFill>
                    <a:srgbClr val="000000"/>
                  </a:solidFill>
                  <a:latin typeface="Arial"/>
                  <a:cs typeface="Arial"/>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30</xdr:row>
          <xdr:rowOff>123825</xdr:rowOff>
        </xdr:from>
        <xdr:to>
          <xdr:col>1</xdr:col>
          <xdr:colOff>0</xdr:colOff>
          <xdr:row>32</xdr:row>
          <xdr:rowOff>28575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B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1000" b="0" i="0" u="none" strike="noStrike" baseline="0">
                  <a:solidFill>
                    <a:srgbClr val="000000"/>
                  </a:solidFill>
                  <a:latin typeface="Arial"/>
                  <a:cs typeface="Arial"/>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dro.navarro\Downloads\Extra\Solicitud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Valoracion%200011-1365-2020-000A.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aloracion%200011-1365-2020-000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Valoracion%200011-1365-2020-000C.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Valoracion%200011-1365-2020-000D.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Valoracion%200011-1365-2020-000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licitudes"/>
    </sheetNames>
    <sheetDataSet>
      <sheetData sheetId="0">
        <row r="2">
          <cell r="A2" t="str">
            <v>0011-1365-2020-000001</v>
          </cell>
          <cell r="B2" t="str">
            <v>FORENSIC AS A SERVICE</v>
          </cell>
          <cell r="C2">
            <v>361365.21</v>
          </cell>
          <cell r="D2">
            <v>43922</v>
          </cell>
          <cell r="E2">
            <v>44651</v>
          </cell>
          <cell r="F2" t="str">
            <v>info@helphone.com</v>
          </cell>
          <cell r="G2" t="str">
            <v>Otros</v>
          </cell>
          <cell r="H2" t="str">
            <v>Otros</v>
          </cell>
          <cell r="I2" t="str">
            <v>Tic</v>
          </cell>
          <cell r="J2" t="str">
            <v>Tic</v>
          </cell>
          <cell r="K2" t="str">
            <v>Transformación 4.0 de la industria navarra</v>
          </cell>
          <cell r="L2" t="str">
            <v>Transformación 4.0 de la industria navarra</v>
          </cell>
          <cell r="M2" t="str">
            <v>Empresa</v>
          </cell>
          <cell r="N2" t="str">
            <v>Empresa</v>
          </cell>
          <cell r="O2" t="str">
            <v>Mediana</v>
          </cell>
          <cell r="P2" t="str">
            <v>Mediana</v>
          </cell>
          <cell r="Q2" t="str">
            <v>Individual</v>
          </cell>
          <cell r="R2" t="str">
            <v>Individual</v>
          </cell>
          <cell r="S2" t="str">
            <v>NO</v>
          </cell>
          <cell r="T2" t="str">
            <v>NO</v>
          </cell>
          <cell r="U2" t="str">
            <v>No está dentro del ámbito del registro industrial</v>
          </cell>
          <cell r="V2" t="str">
            <v>NO</v>
          </cell>
          <cell r="W2" t="str">
            <v>NO</v>
          </cell>
          <cell r="Z2" t="str">
            <v>No, no tenemos intención de patentar</v>
          </cell>
          <cell r="AA2" t="str">
            <v>No, no tenemos intención de patentar</v>
          </cell>
          <cell r="AB2" t="str">
            <v>No, no tenemos prevista publicación</v>
          </cell>
          <cell r="AC2" t="str">
            <v>No, no tenemos prevista publicación</v>
          </cell>
          <cell r="AD2" t="str">
            <v>False</v>
          </cell>
        </row>
        <row r="3">
          <cell r="A3" t="str">
            <v>0011-1365-2020-000002</v>
          </cell>
          <cell r="B3" t="str">
            <v>BOLAS DE TORTILLAS DE PATATA RELLENAS</v>
          </cell>
          <cell r="C3">
            <v>282693</v>
          </cell>
          <cell r="D3">
            <v>43922</v>
          </cell>
          <cell r="E3">
            <v>44651</v>
          </cell>
          <cell r="F3" t="str">
            <v>nuria.gonzalez@elaboradosnaturales.es</v>
          </cell>
          <cell r="G3" t="str">
            <v>Cadena alimentaria</v>
          </cell>
          <cell r="H3" t="str">
            <v>Cadena alimentaria</v>
          </cell>
          <cell r="I3" t="str">
            <v>Otros</v>
          </cell>
          <cell r="J3" t="str">
            <v>Otros</v>
          </cell>
          <cell r="K3" t="str">
            <v>Vertebrar la cadena de valor alimentaria</v>
          </cell>
          <cell r="L3" t="str">
            <v>Vertebrar la cadena de valor alimentaria</v>
          </cell>
          <cell r="M3" t="str">
            <v>Empresa</v>
          </cell>
          <cell r="N3" t="str">
            <v>Empresa</v>
          </cell>
          <cell r="O3" t="str">
            <v>Grande</v>
          </cell>
          <cell r="P3" t="str">
            <v>Grande</v>
          </cell>
          <cell r="Q3" t="str">
            <v>Individual</v>
          </cell>
          <cell r="R3" t="str">
            <v>Individual</v>
          </cell>
          <cell r="S3" t="str">
            <v>SI</v>
          </cell>
          <cell r="T3" t="str">
            <v>SI</v>
          </cell>
          <cell r="V3" t="str">
            <v>NO</v>
          </cell>
          <cell r="W3" t="str">
            <v>NO</v>
          </cell>
          <cell r="Z3" t="str">
            <v>No, no tenemos intención de patentar</v>
          </cell>
          <cell r="AA3" t="str">
            <v>No, no tenemos intención de patentar</v>
          </cell>
          <cell r="AB3" t="str">
            <v>No, no tenemos prevista publicación</v>
          </cell>
          <cell r="AC3" t="str">
            <v>No, no tenemos prevista publicación</v>
          </cell>
          <cell r="AD3" t="str">
            <v>False</v>
          </cell>
        </row>
        <row r="4">
          <cell r="A4" t="str">
            <v>0011-1365-2020-000003</v>
          </cell>
          <cell r="B4" t="str">
            <v>Nuevos procesos avanzados de curvado y soldadura para la fabricación de artículos para personas con movilidad reducida (SOL-MOVIRED)</v>
          </cell>
          <cell r="C4">
            <v>170505</v>
          </cell>
          <cell r="D4">
            <v>43922</v>
          </cell>
          <cell r="E4">
            <v>44651</v>
          </cell>
          <cell r="F4" t="str">
            <v>admon@tecnimoem.com</v>
          </cell>
          <cell r="G4" t="str">
            <v>Salud</v>
          </cell>
          <cell r="H4" t="str">
            <v>Salud</v>
          </cell>
          <cell r="I4" t="str">
            <v>Manufactura avanzada</v>
          </cell>
          <cell r="J4" t="str">
            <v>Manufactura avanzada</v>
          </cell>
          <cell r="K4" t="str">
            <v>Aumento de la eficiencia de los servicios sanitarios</v>
          </cell>
          <cell r="L4" t="str">
            <v>Aumento de la eficiencia de los servicios sanitarios</v>
          </cell>
          <cell r="M4" t="str">
            <v>Empresa</v>
          </cell>
          <cell r="N4" t="str">
            <v>Empresa</v>
          </cell>
          <cell r="O4" t="str">
            <v>Pequeña</v>
          </cell>
          <cell r="P4" t="str">
            <v>Pequeña</v>
          </cell>
          <cell r="Q4" t="str">
            <v>Individual</v>
          </cell>
          <cell r="R4" t="str">
            <v>Individual</v>
          </cell>
          <cell r="S4" t="str">
            <v>SI</v>
          </cell>
          <cell r="T4" t="str">
            <v>SI</v>
          </cell>
          <cell r="V4" t="str">
            <v>NO</v>
          </cell>
          <cell r="W4" t="str">
            <v>NO</v>
          </cell>
          <cell r="Z4" t="str">
            <v>No, no tenemos intención de patentar</v>
          </cell>
          <cell r="AA4" t="str">
            <v>No, no tenemos intención de patentar</v>
          </cell>
          <cell r="AB4" t="str">
            <v>No, no tenemos prevista publicación</v>
          </cell>
          <cell r="AC4" t="str">
            <v>No, no tenemos prevista publicación</v>
          </cell>
          <cell r="AD4" t="str">
            <v>False</v>
          </cell>
        </row>
        <row r="5">
          <cell r="A5" t="str">
            <v>0011-1365-2020-000004</v>
          </cell>
          <cell r="B5" t="str">
            <v>Investigación e implantación de nuevas tecnologías anti-spoofing para biometría facial y autenticación digital de documentos de identidad.</v>
          </cell>
          <cell r="C5">
            <v>1143743</v>
          </cell>
          <cell r="D5">
            <v>43922</v>
          </cell>
          <cell r="E5">
            <v>44651</v>
          </cell>
          <cell r="F5" t="str">
            <v>emata@das-nano.com</v>
          </cell>
          <cell r="G5" t="str">
            <v>Automoción y mecatrónica</v>
          </cell>
          <cell r="H5" t="str">
            <v>Automoción y mecatrónica</v>
          </cell>
          <cell r="I5" t="str">
            <v>Tic</v>
          </cell>
          <cell r="J5" t="str">
            <v>Tic</v>
          </cell>
          <cell r="K5" t="str">
            <v>Transformación 4.0 de la industria navarra</v>
          </cell>
          <cell r="L5" t="str">
            <v>Transformación 4.0 de la industria navarra</v>
          </cell>
          <cell r="M5" t="str">
            <v>Empresa</v>
          </cell>
          <cell r="N5" t="str">
            <v>Empresa</v>
          </cell>
          <cell r="O5" t="str">
            <v>Grande</v>
          </cell>
          <cell r="P5" t="str">
            <v>Grande</v>
          </cell>
          <cell r="Q5" t="str">
            <v>Individual</v>
          </cell>
          <cell r="R5" t="str">
            <v>Individual</v>
          </cell>
          <cell r="S5" t="str">
            <v>NO</v>
          </cell>
          <cell r="T5" t="str">
            <v>NO</v>
          </cell>
          <cell r="U5" t="str">
            <v>N/A</v>
          </cell>
          <cell r="V5" t="str">
            <v>SI</v>
          </cell>
          <cell r="W5" t="str">
            <v>SI</v>
          </cell>
          <cell r="Y5" t="str">
            <v>CDTI/Gobierno de Navarra</v>
          </cell>
          <cell r="Z5" t="str">
            <v>Sí, la patente prevista es europea</v>
          </cell>
          <cell r="AA5" t="str">
            <v>Sí, la patente prevista es europea</v>
          </cell>
          <cell r="AB5" t="str">
            <v>No, no tenemos prevista publicación</v>
          </cell>
          <cell r="AC5" t="str">
            <v>No, no tenemos prevista publicación</v>
          </cell>
          <cell r="AD5" t="str">
            <v>False</v>
          </cell>
        </row>
        <row r="6">
          <cell r="A6" t="str">
            <v>0011-1365-2020-000005</v>
          </cell>
          <cell r="B6" t="str">
            <v>Nuevo proceso de produccion de tapones de corcho para garantizar la neutralidad sensorial (CLEANCORK)</v>
          </cell>
          <cell r="C6">
            <v>230032</v>
          </cell>
          <cell r="D6">
            <v>43922</v>
          </cell>
          <cell r="E6">
            <v>44651</v>
          </cell>
          <cell r="F6" t="str">
            <v>admon@ebrocork.com</v>
          </cell>
          <cell r="G6" t="str">
            <v>Cadena alimentaria</v>
          </cell>
          <cell r="H6" t="str">
            <v>Cadena alimentaria</v>
          </cell>
          <cell r="I6" t="str">
            <v>Manufactura avanzada</v>
          </cell>
          <cell r="J6" t="str">
            <v>Manufactura avanzada</v>
          </cell>
          <cell r="K6" t="str">
            <v>Vertebrar la cadena de valor alimentaria</v>
          </cell>
          <cell r="L6" t="str">
            <v>Vertebrar la cadena de valor alimentaria</v>
          </cell>
          <cell r="M6" t="str">
            <v>Empresa</v>
          </cell>
          <cell r="N6" t="str">
            <v>Empresa</v>
          </cell>
          <cell r="O6" t="str">
            <v>Pequeña</v>
          </cell>
          <cell r="P6" t="str">
            <v>Pequeña</v>
          </cell>
          <cell r="Q6" t="str">
            <v>Individual</v>
          </cell>
          <cell r="R6" t="str">
            <v>Individual</v>
          </cell>
          <cell r="S6" t="str">
            <v>SI</v>
          </cell>
          <cell r="T6" t="str">
            <v>SI</v>
          </cell>
          <cell r="V6" t="str">
            <v>NO</v>
          </cell>
          <cell r="W6" t="str">
            <v>NO</v>
          </cell>
          <cell r="Z6" t="str">
            <v>No, no tenemos intención de patentar</v>
          </cell>
          <cell r="AA6" t="str">
            <v>No, no tenemos intención de patentar</v>
          </cell>
          <cell r="AB6" t="str">
            <v>No, no tenemos prevista publicación</v>
          </cell>
          <cell r="AC6" t="str">
            <v>No, no tenemos prevista publicación</v>
          </cell>
          <cell r="AD6" t="str">
            <v>False</v>
          </cell>
        </row>
        <row r="7">
          <cell r="A7" t="str">
            <v>0011-1365-2020-000006</v>
          </cell>
          <cell r="B7" t="str">
            <v>Diseño y desarrollo de un nuevo sistema para la monitorización del terreno basado en sensores distribuidos de fibra óptica.</v>
          </cell>
          <cell r="C7">
            <v>108452.98</v>
          </cell>
          <cell r="D7">
            <v>43922</v>
          </cell>
          <cell r="E7">
            <v>44286</v>
          </cell>
          <cell r="F7" t="str">
            <v>info@uptech-sensing.com</v>
          </cell>
          <cell r="G7" t="str">
            <v>Automoción y mecatrónica</v>
          </cell>
          <cell r="H7" t="str">
            <v>Automoción y mecatrónica</v>
          </cell>
          <cell r="I7" t="str">
            <v>Tic</v>
          </cell>
          <cell r="J7" t="str">
            <v>Tic</v>
          </cell>
          <cell r="K7" t="str">
            <v>Transformación 4.0 de la industria navarra</v>
          </cell>
          <cell r="L7" t="str">
            <v>Transformación 4.0 de la industria navarra</v>
          </cell>
          <cell r="M7" t="str">
            <v>Empresa</v>
          </cell>
          <cell r="N7" t="str">
            <v>Empresa</v>
          </cell>
          <cell r="O7" t="str">
            <v>Pequeña</v>
          </cell>
          <cell r="P7" t="str">
            <v>Pequeña</v>
          </cell>
          <cell r="Q7" t="str">
            <v>Individual</v>
          </cell>
          <cell r="R7" t="str">
            <v>Individual</v>
          </cell>
          <cell r="S7" t="str">
            <v>SI</v>
          </cell>
          <cell r="T7" t="str">
            <v>SI</v>
          </cell>
          <cell r="U7" t="str">
            <v>15-A-265-00061389</v>
          </cell>
          <cell r="V7" t="str">
            <v>SI</v>
          </cell>
          <cell r="W7" t="str">
            <v>SI</v>
          </cell>
          <cell r="Y7" t="str">
            <v>Gobierno de Navarra Tecnólogos 2020</v>
          </cell>
          <cell r="Z7" t="str">
            <v>No, no tenemos intención de patentar</v>
          </cell>
          <cell r="AA7" t="str">
            <v>No, no tenemos intención de patentar</v>
          </cell>
          <cell r="AB7" t="str">
            <v>Sí, la publicación prevista es en revista científica q1</v>
          </cell>
          <cell r="AC7" t="str">
            <v>Sí, la publicación prevista es en revista científica q1</v>
          </cell>
          <cell r="AD7" t="str">
            <v>False</v>
          </cell>
        </row>
        <row r="8">
          <cell r="A8" t="str">
            <v>0011-1365-2020-000007</v>
          </cell>
          <cell r="B8" t="str">
            <v>Diseño y desarrollo de un nuevo sistema para la monitorización del terreno basado en sensores distribuidos de fibra óptica.</v>
          </cell>
          <cell r="C8">
            <v>453795.98</v>
          </cell>
          <cell r="D8">
            <v>43922</v>
          </cell>
          <cell r="E8">
            <v>44651</v>
          </cell>
          <cell r="F8" t="str">
            <v>info@uptech-sensing.com</v>
          </cell>
          <cell r="G8" t="str">
            <v>Automoción y mecatrónica</v>
          </cell>
          <cell r="H8" t="str">
            <v>Automoción y mecatrónica</v>
          </cell>
          <cell r="I8" t="str">
            <v>Tic</v>
          </cell>
          <cell r="J8" t="str">
            <v>Tic</v>
          </cell>
          <cell r="K8" t="str">
            <v>Transformación 4.0 de la industria navarra</v>
          </cell>
          <cell r="L8" t="str">
            <v>Transformación 4.0 de la industria navarra</v>
          </cell>
          <cell r="M8" t="str">
            <v>Empresa</v>
          </cell>
          <cell r="N8" t="str">
            <v>Empresa</v>
          </cell>
          <cell r="O8" t="str">
            <v>Pequeña</v>
          </cell>
          <cell r="P8" t="str">
            <v>Pequeña</v>
          </cell>
          <cell r="Q8" t="str">
            <v>Individual</v>
          </cell>
          <cell r="R8" t="str">
            <v>Individual</v>
          </cell>
          <cell r="S8" t="str">
            <v>SI</v>
          </cell>
          <cell r="T8" t="str">
            <v>SI</v>
          </cell>
          <cell r="U8" t="str">
            <v>15-A-265-00061389</v>
          </cell>
          <cell r="V8" t="str">
            <v>SI</v>
          </cell>
          <cell r="W8" t="str">
            <v>SI</v>
          </cell>
          <cell r="Y8" t="str">
            <v>Gobierno de Navarra Tecnólogos 2020</v>
          </cell>
          <cell r="Z8" t="str">
            <v>No, no tenemos intención de patentar</v>
          </cell>
          <cell r="AA8" t="str">
            <v>No, no tenemos intención de patentar</v>
          </cell>
          <cell r="AB8" t="str">
            <v>Sí, la publicación prevista es en revista científica q1</v>
          </cell>
          <cell r="AC8" t="str">
            <v>Sí, la publicación prevista es en revista científica q1</v>
          </cell>
          <cell r="AD8" t="str">
            <v>False</v>
          </cell>
        </row>
        <row r="9">
          <cell r="A9" t="str">
            <v>0011-1365-2020-000008</v>
          </cell>
          <cell r="B9" t="str">
            <v xml:space="preserve">DESARROLLO DE UN DISPOSITIVO ARTROSCÓPICO PARA LA RESTAURACIÓN DEL MANGUITO ROTADOR DEL HOMBRO </v>
          </cell>
          <cell r="C9">
            <v>231003.33</v>
          </cell>
          <cell r="D9">
            <v>43922</v>
          </cell>
          <cell r="E9">
            <v>44651</v>
          </cell>
          <cell r="F9" t="str">
            <v>juan.abascal@abanzamed.com</v>
          </cell>
          <cell r="G9" t="str">
            <v>Salud</v>
          </cell>
          <cell r="H9" t="str">
            <v>Salud</v>
          </cell>
          <cell r="I9" t="str">
            <v>Biotecnología</v>
          </cell>
          <cell r="J9" t="str">
            <v>Biotecnología</v>
          </cell>
          <cell r="K9" t="str">
            <v>Aumento de la eficiencia de los servicios sanitarios</v>
          </cell>
          <cell r="L9" t="str">
            <v>Aumento de la eficiencia de los servicios sanitarios</v>
          </cell>
          <cell r="M9" t="str">
            <v>Empresa</v>
          </cell>
          <cell r="N9" t="str">
            <v>Empresa</v>
          </cell>
          <cell r="O9" t="str">
            <v>Pequeña</v>
          </cell>
          <cell r="P9" t="str">
            <v>Pequeña</v>
          </cell>
          <cell r="Q9" t="str">
            <v>Individual</v>
          </cell>
          <cell r="R9" t="str">
            <v>Individual</v>
          </cell>
          <cell r="S9" t="str">
            <v>SI</v>
          </cell>
          <cell r="T9" t="str">
            <v>SI</v>
          </cell>
          <cell r="U9" t="str">
            <v>15-B-B00-00061078</v>
          </cell>
          <cell r="V9" t="str">
            <v>SI</v>
          </cell>
          <cell r="W9" t="str">
            <v>SI</v>
          </cell>
          <cell r="Y9" t="str">
            <v>Gobierno de Navarra Ayudas a la contratación de personal investigador y tecnológico 2020</v>
          </cell>
          <cell r="Z9" t="str">
            <v>Sí, la patente prevista es europea</v>
          </cell>
          <cell r="AA9" t="str">
            <v>Sí, la patente prevista es europea</v>
          </cell>
          <cell r="AB9" t="str">
            <v>No, no tenemos prevista publicación</v>
          </cell>
          <cell r="AC9" t="str">
            <v>No, no tenemos prevista publicación</v>
          </cell>
          <cell r="AD9" t="str">
            <v>False</v>
          </cell>
        </row>
        <row r="10">
          <cell r="A10" t="str">
            <v>0011-1365-2020-000009</v>
          </cell>
          <cell r="B10" t="str">
            <v>SISTEMA DE TRATAMIENTO CONTRA PATÓGENOS EN ABEJAS</v>
          </cell>
          <cell r="C10">
            <v>485710</v>
          </cell>
          <cell r="D10">
            <v>43922</v>
          </cell>
          <cell r="E10">
            <v>44651</v>
          </cell>
          <cell r="F10" t="str">
            <v>adviser.saezg@gmail.com</v>
          </cell>
          <cell r="G10" t="str">
            <v>Cadena alimentaria</v>
          </cell>
          <cell r="H10" t="str">
            <v>Cadena alimentaria</v>
          </cell>
          <cell r="I10" t="str">
            <v>Biotecnología</v>
          </cell>
          <cell r="J10" t="str">
            <v>Biotecnología</v>
          </cell>
          <cell r="K10" t="str">
            <v>Apuesta por la alimentación saludable</v>
          </cell>
          <cell r="L10" t="str">
            <v>Apuesta por la alimentación saludable</v>
          </cell>
          <cell r="M10" t="str">
            <v>Empresa</v>
          </cell>
          <cell r="N10" t="str">
            <v>Empresa</v>
          </cell>
          <cell r="O10" t="str">
            <v>Pequeña</v>
          </cell>
          <cell r="P10" t="str">
            <v>Pequeña</v>
          </cell>
          <cell r="Q10" t="str">
            <v>Individual</v>
          </cell>
          <cell r="R10" t="str">
            <v>Individual</v>
          </cell>
          <cell r="S10" t="str">
            <v>NO</v>
          </cell>
          <cell r="T10" t="str">
            <v>NO</v>
          </cell>
          <cell r="U10" t="str">
            <v>N/A</v>
          </cell>
          <cell r="V10" t="str">
            <v>SI</v>
          </cell>
          <cell r="W10" t="str">
            <v>SI</v>
          </cell>
          <cell r="Y10" t="str">
            <v>Ayuda para la contratación de personal investigador y tecnológico 2020 (Gobierno de Navarra) CDTI Cervera</v>
          </cell>
          <cell r="Z10" t="str">
            <v>Sí, la patente prevista es europea</v>
          </cell>
          <cell r="AA10" t="str">
            <v>Sí, la patente prevista es europea</v>
          </cell>
          <cell r="AB10" t="str">
            <v>Sí, la publicación prevista es en revista científica q1</v>
          </cell>
          <cell r="AC10" t="str">
            <v>Sí, la publicación prevista es en revista científica q1</v>
          </cell>
          <cell r="AD10" t="str">
            <v>False</v>
          </cell>
        </row>
        <row r="11">
          <cell r="A11" t="str">
            <v>0011-1365-2020-000010</v>
          </cell>
          <cell r="B11" t="str">
            <v>BECHAMEL GOURMET EN BRICK PARA CANAL AMBIENTE</v>
          </cell>
          <cell r="C11">
            <v>296319.61</v>
          </cell>
          <cell r="D11">
            <v>43922</v>
          </cell>
          <cell r="E11">
            <v>44561</v>
          </cell>
          <cell r="F11" t="str">
            <v>interal@interal.es</v>
          </cell>
          <cell r="G11" t="str">
            <v>Cadena alimentaria</v>
          </cell>
          <cell r="H11" t="str">
            <v>Cadena alimentaria</v>
          </cell>
          <cell r="J11" t="str">
            <v>Seleccionar...</v>
          </cell>
          <cell r="K11" t="str">
            <v>Vertebrar la cadena de valor alimentaria</v>
          </cell>
          <cell r="L11" t="str">
            <v>Vertebrar la cadena de valor alimentaria</v>
          </cell>
          <cell r="M11" t="str">
            <v>Empresa</v>
          </cell>
          <cell r="N11" t="str">
            <v>Empresa</v>
          </cell>
          <cell r="O11" t="str">
            <v>Grande</v>
          </cell>
          <cell r="P11" t="str">
            <v>Grande</v>
          </cell>
          <cell r="Q11" t="str">
            <v>Individual</v>
          </cell>
          <cell r="R11" t="str">
            <v>Individual</v>
          </cell>
          <cell r="S11" t="str">
            <v>SI</v>
          </cell>
          <cell r="T11" t="str">
            <v>SI</v>
          </cell>
          <cell r="V11" t="str">
            <v>NO</v>
          </cell>
          <cell r="W11" t="str">
            <v>NO</v>
          </cell>
          <cell r="Z11" t="str">
            <v>No, no tenemos intención de patentar</v>
          </cell>
          <cell r="AA11" t="str">
            <v>No, no tenemos intención de patentar</v>
          </cell>
          <cell r="AB11" t="str">
            <v>No, no tenemos prevista publicación</v>
          </cell>
          <cell r="AC11" t="str">
            <v>No, no tenemos prevista publicación</v>
          </cell>
          <cell r="AD11" t="str">
            <v>False</v>
          </cell>
        </row>
        <row r="12">
          <cell r="A12" t="str">
            <v>0011-1365-2020-000011</v>
          </cell>
          <cell r="B12" t="str">
            <v>Nuevo sistema de monitorización inteligente de competiciones de pádel (iPADEL)</v>
          </cell>
          <cell r="C12">
            <v>262670.05</v>
          </cell>
          <cell r="D12">
            <v>43922</v>
          </cell>
          <cell r="E12">
            <v>44469</v>
          </cell>
          <cell r="F12" t="str">
            <v>sergio@nubapp.com</v>
          </cell>
          <cell r="G12" t="str">
            <v>Industrias creativas y digitales</v>
          </cell>
          <cell r="H12" t="str">
            <v>Industrias creativas y digitales</v>
          </cell>
          <cell r="I12" t="str">
            <v>Tic</v>
          </cell>
          <cell r="J12" t="str">
            <v>Tic</v>
          </cell>
          <cell r="K12" t="str">
            <v>Industrias creativas y digitales</v>
          </cell>
          <cell r="L12" t="str">
            <v>Industrias creativas y digitales</v>
          </cell>
          <cell r="M12" t="str">
            <v>Empresa</v>
          </cell>
          <cell r="N12" t="str">
            <v>Empresa</v>
          </cell>
          <cell r="O12" t="str">
            <v>Pequeña</v>
          </cell>
          <cell r="P12" t="str">
            <v>Pequeña</v>
          </cell>
          <cell r="Q12" t="str">
            <v>Individual</v>
          </cell>
          <cell r="R12" t="str">
            <v>Individual</v>
          </cell>
          <cell r="S12" t="str">
            <v>NO</v>
          </cell>
          <cell r="T12" t="str">
            <v>NO</v>
          </cell>
          <cell r="U12" t="str">
            <v>no procede</v>
          </cell>
          <cell r="V12" t="str">
            <v>NO</v>
          </cell>
          <cell r="W12" t="str">
            <v>NO</v>
          </cell>
          <cell r="Z12" t="str">
            <v>No, no tenemos intención de patentar</v>
          </cell>
          <cell r="AA12" t="str">
            <v>No, no tenemos intención de patentar</v>
          </cell>
          <cell r="AB12" t="str">
            <v>No, no tenemos prevista publicación</v>
          </cell>
          <cell r="AC12" t="str">
            <v>No, no tenemos prevista publicación</v>
          </cell>
          <cell r="AD12" t="str">
            <v>False</v>
          </cell>
        </row>
        <row r="13">
          <cell r="A13" t="str">
            <v>0011-1365-2020-000012</v>
          </cell>
          <cell r="B13" t="str">
            <v>SISTEMA DE GENERACIÓN DE VACÍO PARA GRAN CAPACIDAD DE FRENADA DE MÁXIMA EFICIENCIA BASADO EN UNA BOMBA DE VACÍO DUAL.</v>
          </cell>
          <cell r="C13">
            <v>547122.81999999995</v>
          </cell>
          <cell r="D13">
            <v>43922</v>
          </cell>
          <cell r="E13">
            <v>44651</v>
          </cell>
          <cell r="F13" t="str">
            <v>JAVIER.SANZ@ENTECNIA.COM</v>
          </cell>
          <cell r="G13" t="str">
            <v>Automoción y mecatrónica</v>
          </cell>
          <cell r="H13" t="str">
            <v>Automoción y mecatrónica</v>
          </cell>
          <cell r="I13" t="str">
            <v>Manufactura avanzada</v>
          </cell>
          <cell r="J13" t="str">
            <v>Manufactura avanzada</v>
          </cell>
          <cell r="K13" t="str">
            <v>Impulso del vehículo eléctrico</v>
          </cell>
          <cell r="L13" t="str">
            <v>Impulso del vehículo eléctrico</v>
          </cell>
          <cell r="M13" t="str">
            <v>Empresa</v>
          </cell>
          <cell r="N13" t="str">
            <v>Empresa</v>
          </cell>
          <cell r="O13" t="str">
            <v>Pequeña</v>
          </cell>
          <cell r="P13" t="str">
            <v>Pequeña</v>
          </cell>
          <cell r="Q13" t="str">
            <v>Individual</v>
          </cell>
          <cell r="R13" t="str">
            <v>Individual</v>
          </cell>
          <cell r="S13" t="str">
            <v>SI</v>
          </cell>
          <cell r="T13" t="str">
            <v>SI</v>
          </cell>
          <cell r="U13" t="str">
            <v>15-B-B00-00060449</v>
          </cell>
          <cell r="V13" t="str">
            <v>SI</v>
          </cell>
          <cell r="W13" t="str">
            <v>SI</v>
          </cell>
          <cell r="Y13" t="str">
            <v>Gobierno de Navarra Tecnólogos 2020</v>
          </cell>
          <cell r="Z13" t="str">
            <v>Sí, la patente prevista es europea</v>
          </cell>
          <cell r="AA13" t="str">
            <v>Sí, la patente prevista es europea</v>
          </cell>
          <cell r="AB13" t="str">
            <v>No, no tenemos prevista publicación</v>
          </cell>
          <cell r="AC13" t="str">
            <v>No, no tenemos prevista publicación</v>
          </cell>
          <cell r="AD13" t="str">
            <v>False</v>
          </cell>
        </row>
        <row r="14">
          <cell r="A14" t="str">
            <v>0011-1365-2020-000013</v>
          </cell>
          <cell r="B14" t="str">
            <v>NEWFILTER</v>
          </cell>
          <cell r="C14">
            <v>489391</v>
          </cell>
          <cell r="D14">
            <v>43922</v>
          </cell>
          <cell r="E14">
            <v>44561</v>
          </cell>
          <cell r="F14" t="str">
            <v>j.cia@kayser-automotive.com</v>
          </cell>
          <cell r="G14" t="str">
            <v>Automoción y mecatrónica</v>
          </cell>
          <cell r="H14" t="str">
            <v>Automoción y mecatrónica</v>
          </cell>
          <cell r="I14" t="str">
            <v>Manufactura avanzada</v>
          </cell>
          <cell r="J14" t="str">
            <v>Manufactura avanzada</v>
          </cell>
          <cell r="K14" t="str">
            <v>Disminución del consumo de energías fósiles</v>
          </cell>
          <cell r="L14" t="str">
            <v>Disminución del consumo de energías fósiles</v>
          </cell>
          <cell r="M14" t="str">
            <v>Empresa</v>
          </cell>
          <cell r="N14" t="str">
            <v>Empresa</v>
          </cell>
          <cell r="O14" t="str">
            <v>Grande</v>
          </cell>
          <cell r="P14" t="str">
            <v>Grande</v>
          </cell>
          <cell r="Q14" t="str">
            <v>Individual</v>
          </cell>
          <cell r="R14" t="str">
            <v>Individual</v>
          </cell>
          <cell r="S14" t="str">
            <v>SI</v>
          </cell>
          <cell r="T14" t="str">
            <v>SI</v>
          </cell>
          <cell r="V14" t="str">
            <v>NO</v>
          </cell>
          <cell r="W14" t="str">
            <v>NO</v>
          </cell>
          <cell r="Z14" t="str">
            <v>No, no tenemos intención de patentar</v>
          </cell>
          <cell r="AA14" t="str">
            <v>No, no tenemos intención de patentar</v>
          </cell>
          <cell r="AB14" t="str">
            <v>No, no tenemos prevista publicación</v>
          </cell>
          <cell r="AC14" t="str">
            <v>No, no tenemos prevista publicación</v>
          </cell>
          <cell r="AD14" t="str">
            <v>False</v>
          </cell>
        </row>
        <row r="15">
          <cell r="A15" t="str">
            <v>0011-1365-2020-000014</v>
          </cell>
          <cell r="B15" t="str">
            <v>NEO C</v>
          </cell>
          <cell r="C15">
            <v>455614.32</v>
          </cell>
          <cell r="D15">
            <v>43922</v>
          </cell>
          <cell r="E15">
            <v>44651</v>
          </cell>
          <cell r="F15" t="str">
            <v>lidiaalonso@azkoyen.com</v>
          </cell>
          <cell r="G15" t="str">
            <v>Automoción y mecatrónica</v>
          </cell>
          <cell r="H15" t="str">
            <v>Automoción y mecatrónica</v>
          </cell>
          <cell r="I15" t="str">
            <v>Tic</v>
          </cell>
          <cell r="J15" t="str">
            <v>Tic</v>
          </cell>
          <cell r="K15" t="str">
            <v>Transformación 4.0 de la industria navarra</v>
          </cell>
          <cell r="L15" t="str">
            <v>Transformación 4.0 de la industria navarra</v>
          </cell>
          <cell r="M15" t="str">
            <v>Empresa</v>
          </cell>
          <cell r="N15" t="str">
            <v>Empresa</v>
          </cell>
          <cell r="O15" t="str">
            <v>Grande</v>
          </cell>
          <cell r="P15" t="str">
            <v>Grande</v>
          </cell>
          <cell r="Q15" t="str">
            <v>Individual</v>
          </cell>
          <cell r="R15" t="str">
            <v>Individual</v>
          </cell>
          <cell r="S15" t="str">
            <v>SI</v>
          </cell>
          <cell r="T15" t="str">
            <v>SI</v>
          </cell>
          <cell r="V15" t="str">
            <v>NO</v>
          </cell>
          <cell r="W15" t="str">
            <v>NO</v>
          </cell>
          <cell r="Z15" t="str">
            <v>No, no tenemos intención de patentar</v>
          </cell>
          <cell r="AA15" t="str">
            <v>No, no tenemos intención de patentar</v>
          </cell>
          <cell r="AB15" t="str">
            <v>No, no tenemos prevista publicación</v>
          </cell>
          <cell r="AC15" t="str">
            <v>No, no tenemos prevista publicación</v>
          </cell>
          <cell r="AD15" t="str">
            <v>False</v>
          </cell>
        </row>
        <row r="16">
          <cell r="A16" t="str">
            <v>0011-1365-2020-000015</v>
          </cell>
          <cell r="B16" t="str">
            <v xml:space="preserve">DESARROLLO DE UN DISPOSITIVO ARTROSCÓPICO PARA LA RESTAURACIÓN DEL MANGUITO ROTADOR DEL HOMBRO </v>
          </cell>
          <cell r="C16">
            <v>254203.33</v>
          </cell>
          <cell r="D16">
            <v>43922</v>
          </cell>
          <cell r="E16">
            <v>44651</v>
          </cell>
          <cell r="F16" t="str">
            <v>juan.abascal@abanzamed.com</v>
          </cell>
          <cell r="G16" t="str">
            <v>Salud</v>
          </cell>
          <cell r="H16" t="str">
            <v>Salud</v>
          </cell>
          <cell r="I16" t="str">
            <v>Biotecnología</v>
          </cell>
          <cell r="J16" t="str">
            <v>Biotecnología</v>
          </cell>
          <cell r="K16" t="str">
            <v>Aumento de la eficiencia de los servicios sanitarios</v>
          </cell>
          <cell r="L16" t="str">
            <v>Aumento de la eficiencia de los servicios sanitarios</v>
          </cell>
          <cell r="M16" t="str">
            <v>Empresa</v>
          </cell>
          <cell r="N16" t="str">
            <v>Empresa</v>
          </cell>
          <cell r="O16" t="str">
            <v>Pequeña</v>
          </cell>
          <cell r="P16" t="str">
            <v>Pequeña</v>
          </cell>
          <cell r="Q16" t="str">
            <v>Individual</v>
          </cell>
          <cell r="R16" t="str">
            <v>Individual</v>
          </cell>
          <cell r="S16" t="str">
            <v>SI</v>
          </cell>
          <cell r="T16" t="str">
            <v>SI</v>
          </cell>
          <cell r="U16" t="str">
            <v>15-B-B00-00061078</v>
          </cell>
          <cell r="V16" t="str">
            <v>SI</v>
          </cell>
          <cell r="W16" t="str">
            <v>SI</v>
          </cell>
          <cell r="Y16" t="str">
            <v>Gobierno de Navarra Tecnólogos 2020</v>
          </cell>
          <cell r="Z16" t="str">
            <v>Sí, la patente prevista es europea</v>
          </cell>
          <cell r="AA16" t="str">
            <v>Sí, la patente prevista es europea</v>
          </cell>
          <cell r="AB16" t="str">
            <v>No, no tenemos prevista publicación</v>
          </cell>
          <cell r="AC16" t="str">
            <v>No, no tenemos prevista publicación</v>
          </cell>
          <cell r="AD16" t="str">
            <v>False</v>
          </cell>
        </row>
        <row r="17">
          <cell r="A17" t="str">
            <v>0011-1365-2020-000016</v>
          </cell>
          <cell r="B17" t="str">
            <v>Integración del PSM en el CANBUS del vehículo</v>
          </cell>
          <cell r="C17">
            <v>57320</v>
          </cell>
          <cell r="D17">
            <v>43923</v>
          </cell>
          <cell r="E17">
            <v>44561</v>
          </cell>
          <cell r="F17" t="str">
            <v>amlighting@amlighting.eu</v>
          </cell>
          <cell r="G17" t="str">
            <v>Automoción y mecatrónica</v>
          </cell>
          <cell r="H17" t="str">
            <v>Automoción y mecatrónica</v>
          </cell>
          <cell r="I17" t="str">
            <v>Tic</v>
          </cell>
          <cell r="J17" t="str">
            <v>Tic</v>
          </cell>
          <cell r="K17" t="str">
            <v>Transformación 4.0 de la industria navarra</v>
          </cell>
          <cell r="L17" t="str">
            <v>Transformación 4.0 de la industria navarra</v>
          </cell>
          <cell r="M17" t="str">
            <v>Empresa</v>
          </cell>
          <cell r="N17" t="str">
            <v>Empresa</v>
          </cell>
          <cell r="O17" t="str">
            <v>Pequeña</v>
          </cell>
          <cell r="P17" t="str">
            <v>Pequeña</v>
          </cell>
          <cell r="Q17" t="str">
            <v>Individual</v>
          </cell>
          <cell r="R17" t="str">
            <v>Individual</v>
          </cell>
          <cell r="S17" t="str">
            <v>SI</v>
          </cell>
          <cell r="T17" t="str">
            <v>SI</v>
          </cell>
          <cell r="W17" t="str">
            <v>Seleccionar...</v>
          </cell>
          <cell r="Z17" t="str">
            <v>No, no tenemos intención de patentar</v>
          </cell>
          <cell r="AA17" t="str">
            <v>No, no tenemos intención de patentar</v>
          </cell>
          <cell r="AB17" t="str">
            <v>No, no tenemos prevista publicación</v>
          </cell>
          <cell r="AC17" t="str">
            <v>No, no tenemos prevista publicación</v>
          </cell>
          <cell r="AD17" t="str">
            <v>False</v>
          </cell>
        </row>
        <row r="18">
          <cell r="A18" t="str">
            <v>0011-1365-2020-000017</v>
          </cell>
          <cell r="B18" t="str">
            <v xml:space="preserve"> DESARROLLO DE GAMA FRIGORÍFICA CON EVAPORADOR EN ESPALDA PARA EL MERCADO NÓRDICO </v>
          </cell>
          <cell r="C18">
            <v>142098.35</v>
          </cell>
          <cell r="D18">
            <v>43922</v>
          </cell>
          <cell r="E18">
            <v>44286</v>
          </cell>
          <cell r="F18" t="str">
            <v>mapi@gesecom.com</v>
          </cell>
          <cell r="G18" t="str">
            <v>Automoción y mecatrónica</v>
          </cell>
          <cell r="H18" t="str">
            <v>Automoción y mecatrónica</v>
          </cell>
          <cell r="I18" t="str">
            <v>Manufactura avanzada</v>
          </cell>
          <cell r="J18" t="str">
            <v>Manufactura avanzada</v>
          </cell>
          <cell r="K18" t="str">
            <v>Transformación 4.0 de la industria navarra</v>
          </cell>
          <cell r="L18" t="str">
            <v>Transformación 4.0 de la industria navarra</v>
          </cell>
          <cell r="M18" t="str">
            <v>Empresa</v>
          </cell>
          <cell r="N18" t="str">
            <v>Empresa</v>
          </cell>
          <cell r="O18" t="str">
            <v>Grande</v>
          </cell>
          <cell r="P18" t="str">
            <v>Grande</v>
          </cell>
          <cell r="Q18" t="str">
            <v>Individual</v>
          </cell>
          <cell r="R18" t="str">
            <v>Individual</v>
          </cell>
          <cell r="S18" t="str">
            <v>SI</v>
          </cell>
          <cell r="T18" t="str">
            <v>SI</v>
          </cell>
          <cell r="V18" t="str">
            <v>NO</v>
          </cell>
          <cell r="W18" t="str">
            <v>NO</v>
          </cell>
          <cell r="Z18" t="str">
            <v>No, no tenemos intención de patentar</v>
          </cell>
          <cell r="AA18" t="str">
            <v>No, no tenemos intención de patentar</v>
          </cell>
          <cell r="AB18" t="str">
            <v>No, no tenemos prevista publicación</v>
          </cell>
          <cell r="AC18" t="str">
            <v>No, no tenemos prevista publicación</v>
          </cell>
          <cell r="AD18" t="str">
            <v>False</v>
          </cell>
        </row>
        <row r="19">
          <cell r="A19" t="str">
            <v>0011-1365-2020-000018</v>
          </cell>
          <cell r="B19" t="str">
            <v>agrOPT - Investigación industrial para el desarrollo de equipamiento opto-electrónico que permita contar con fuentes de luz y sistemas detectores eficientes y de amplio espectro con aplicaciones en el sector agroalimentario</v>
          </cell>
          <cell r="C19">
            <v>31484</v>
          </cell>
          <cell r="D19">
            <v>43922</v>
          </cell>
          <cell r="E19">
            <v>44651</v>
          </cell>
          <cell r="F19" t="str">
            <v>ignacio.vitoria@pyroistech.com</v>
          </cell>
          <cell r="G19" t="str">
            <v>Cadena alimentaria</v>
          </cell>
          <cell r="H19" t="str">
            <v>Cadena alimentaria</v>
          </cell>
          <cell r="I19" t="str">
            <v>Tic</v>
          </cell>
          <cell r="J19" t="str">
            <v>Tic</v>
          </cell>
          <cell r="K19" t="str">
            <v>Transformación 4.0 de la industria navarra</v>
          </cell>
          <cell r="L19" t="str">
            <v>Transformación 4.0 de la industria navarra</v>
          </cell>
          <cell r="M19" t="str">
            <v>Empresa</v>
          </cell>
          <cell r="N19" t="str">
            <v>Empresa</v>
          </cell>
          <cell r="O19" t="str">
            <v>Pequeña</v>
          </cell>
          <cell r="P19" t="str">
            <v>Pequeña</v>
          </cell>
          <cell r="Q19" t="str">
            <v>Transferencia del conocimiento</v>
          </cell>
          <cell r="R19" t="str">
            <v>Transferencia del conocimiento</v>
          </cell>
          <cell r="S19" t="str">
            <v>SI</v>
          </cell>
          <cell r="T19" t="str">
            <v>SI</v>
          </cell>
          <cell r="U19" t="str">
            <v>15-B-B00-00061438</v>
          </cell>
          <cell r="V19" t="str">
            <v>SI</v>
          </cell>
          <cell r="W19" t="str">
            <v>SI</v>
          </cell>
          <cell r="X19">
            <v>43894</v>
          </cell>
          <cell r="Y19" t="str">
            <v>Convocatoria de Tecnólogos 2020 de Gobierno de Navarra</v>
          </cell>
          <cell r="Z19" t="str">
            <v>No, no tenemos intención de patentar</v>
          </cell>
          <cell r="AA19" t="str">
            <v>No, no tenemos intención de patentar</v>
          </cell>
          <cell r="AB19" t="str">
            <v>Sí, la publicación prevista es en revista científica q1</v>
          </cell>
          <cell r="AC19" t="str">
            <v>Sí, la publicación prevista es en revista científica q1</v>
          </cell>
          <cell r="AD19" t="str">
            <v>False</v>
          </cell>
        </row>
        <row r="20">
          <cell r="A20" t="str">
            <v>0011-1365-2020-000019</v>
          </cell>
          <cell r="B20" t="str">
            <v xml:space="preserve">Investigación sobre las concepciones del cartón y la geometría de los embalajes Heavy Duty. </v>
          </cell>
          <cell r="C20">
            <v>427150</v>
          </cell>
          <cell r="D20">
            <v>43952</v>
          </cell>
          <cell r="E20">
            <v>44500</v>
          </cell>
          <cell r="F20" t="str">
            <v>ander.ugalde@smurfitkappa.es</v>
          </cell>
          <cell r="G20" t="str">
            <v>Energías renovables y recursos</v>
          </cell>
          <cell r="H20" t="str">
            <v>Energías renovables y recursos</v>
          </cell>
          <cell r="I20" t="str">
            <v>Manufactura avanzada</v>
          </cell>
          <cell r="J20" t="str">
            <v>Manufactura avanzada</v>
          </cell>
          <cell r="K20" t="str">
            <v>Promover la economía circular</v>
          </cell>
          <cell r="L20" t="str">
            <v>Promover la economía circular</v>
          </cell>
          <cell r="M20" t="str">
            <v>Empresa</v>
          </cell>
          <cell r="N20" t="str">
            <v>Empresa</v>
          </cell>
          <cell r="O20" t="str">
            <v>Grande</v>
          </cell>
          <cell r="P20" t="str">
            <v>Grande</v>
          </cell>
          <cell r="Q20" t="str">
            <v>Individual</v>
          </cell>
          <cell r="R20" t="str">
            <v>Individual</v>
          </cell>
          <cell r="S20" t="str">
            <v>SI</v>
          </cell>
          <cell r="T20" t="str">
            <v>SI</v>
          </cell>
          <cell r="V20" t="str">
            <v>SI</v>
          </cell>
          <cell r="W20" t="str">
            <v>SI</v>
          </cell>
          <cell r="Y20" t="str">
            <v>CDTI PROXIMA SOLICITUD</v>
          </cell>
          <cell r="Z20" t="str">
            <v>No, no tenemos intención de patentar</v>
          </cell>
          <cell r="AA20" t="str">
            <v>No, no tenemos intención de patentar</v>
          </cell>
          <cell r="AB20" t="str">
            <v>No, no tenemos prevista publicación</v>
          </cell>
          <cell r="AC20" t="str">
            <v>No, no tenemos prevista publicación</v>
          </cell>
          <cell r="AD20" t="str">
            <v>False</v>
          </cell>
        </row>
        <row r="21">
          <cell r="A21" t="str">
            <v>0011-1365-2020-000020</v>
          </cell>
          <cell r="B21" t="str">
            <v>SISTEMA DE REFRIGERACIÓN CON TERMOSIFONES PARA UNA FASE EXTRAIBLE DE UN INVERSOR FOTOVOLTAICO CENTRAL</v>
          </cell>
          <cell r="C21">
            <v>299046</v>
          </cell>
          <cell r="D21">
            <v>43922</v>
          </cell>
          <cell r="E21">
            <v>44651</v>
          </cell>
          <cell r="F21" t="str">
            <v>leire.hurtado@alaz-arima.com</v>
          </cell>
          <cell r="G21" t="str">
            <v>Energías renovables y recursos</v>
          </cell>
          <cell r="H21" t="str">
            <v>Energías renovables y recursos</v>
          </cell>
          <cell r="I21" t="str">
            <v>Manufactura avanzada</v>
          </cell>
          <cell r="J21" t="str">
            <v>Manufactura avanzada</v>
          </cell>
          <cell r="K21" t="str">
            <v>Disminución del consumo de energías fósiles</v>
          </cell>
          <cell r="L21" t="str">
            <v>Disminución del consumo de energías fósiles</v>
          </cell>
          <cell r="M21" t="str">
            <v>Empresa</v>
          </cell>
          <cell r="N21" t="str">
            <v>Empresa</v>
          </cell>
          <cell r="O21" t="str">
            <v>Pequeña</v>
          </cell>
          <cell r="P21" t="str">
            <v>Pequeña</v>
          </cell>
          <cell r="Q21" t="str">
            <v>Individual</v>
          </cell>
          <cell r="R21" t="str">
            <v>Individual</v>
          </cell>
          <cell r="S21" t="str">
            <v>SI</v>
          </cell>
          <cell r="T21" t="str">
            <v>SI</v>
          </cell>
          <cell r="V21" t="str">
            <v>SI</v>
          </cell>
          <cell r="W21" t="str">
            <v>SI</v>
          </cell>
          <cell r="X21" t="str">
            <v>PENDIENTE DE SOLICITAR</v>
          </cell>
          <cell r="Y21" t="str">
            <v>CDTI I+D</v>
          </cell>
          <cell r="Z21" t="str">
            <v>Sí, la patente prevista es europea</v>
          </cell>
          <cell r="AA21" t="str">
            <v>Sí, la patente prevista es europea</v>
          </cell>
          <cell r="AB21" t="str">
            <v>No, no tenemos prevista publicación</v>
          </cell>
          <cell r="AC21" t="str">
            <v>No, no tenemos prevista publicación</v>
          </cell>
          <cell r="AD21" t="str">
            <v>False</v>
          </cell>
        </row>
        <row r="22">
          <cell r="A22" t="str">
            <v>0011-1365-2020-000021</v>
          </cell>
          <cell r="B22" t="str">
            <v>Desarrollo de un sistema inteligente de gestión energética de máxima eficiencia para máquinas de vending avanzadas autónomas</v>
          </cell>
          <cell r="C22">
            <v>479422.6</v>
          </cell>
          <cell r="D22">
            <v>43922</v>
          </cell>
          <cell r="E22">
            <v>44651</v>
          </cell>
          <cell r="F22" t="str">
            <v>info@muxunav.com</v>
          </cell>
          <cell r="G22" t="str">
            <v>Energías renovables y recursos</v>
          </cell>
          <cell r="H22" t="str">
            <v>Energías renovables y recursos</v>
          </cell>
          <cell r="I22" t="str">
            <v>Tic</v>
          </cell>
          <cell r="J22" t="str">
            <v>Tic</v>
          </cell>
          <cell r="K22" t="str">
            <v>Promover la economía circular</v>
          </cell>
          <cell r="L22" t="str">
            <v>Promover la economía circular</v>
          </cell>
          <cell r="M22" t="str">
            <v>Empresa</v>
          </cell>
          <cell r="N22" t="str">
            <v>Empresa</v>
          </cell>
          <cell r="O22" t="str">
            <v>Pequeña</v>
          </cell>
          <cell r="P22" t="str">
            <v>Pequeña</v>
          </cell>
          <cell r="Q22" t="str">
            <v>Individual</v>
          </cell>
          <cell r="R22" t="str">
            <v>Individual</v>
          </cell>
          <cell r="S22" t="str">
            <v>NO</v>
          </cell>
          <cell r="T22" t="str">
            <v>NO</v>
          </cell>
          <cell r="U22" t="str">
            <v>N/A</v>
          </cell>
          <cell r="V22" t="str">
            <v>SI</v>
          </cell>
          <cell r="W22" t="str">
            <v>SI</v>
          </cell>
          <cell r="Y22" t="str">
            <v>Gobierno de Navarra Tecnólogos 2020</v>
          </cell>
          <cell r="Z22" t="str">
            <v>Sí, la patente prevista es europea</v>
          </cell>
          <cell r="AA22" t="str">
            <v>Sí, la patente prevista es europea</v>
          </cell>
          <cell r="AB22" t="str">
            <v>No, no tenemos prevista publicación</v>
          </cell>
          <cell r="AC22" t="str">
            <v>No, no tenemos prevista publicación</v>
          </cell>
          <cell r="AD22" t="str">
            <v>False</v>
          </cell>
        </row>
        <row r="23">
          <cell r="A23" t="str">
            <v>0011-1365-2020-000022</v>
          </cell>
          <cell r="B23" t="str">
            <v>Desarrollo de una plataforma de nutrición personalizada para pacientes con cáncer colorrectal metastásico (ONCOME)</v>
          </cell>
          <cell r="C23">
            <v>31033.5</v>
          </cell>
          <cell r="D23">
            <v>43922</v>
          </cell>
          <cell r="E23">
            <v>44286</v>
          </cell>
          <cell r="F23" t="str">
            <v>proxxi@proxxi.es</v>
          </cell>
          <cell r="G23" t="str">
            <v>Salud</v>
          </cell>
          <cell r="H23" t="str">
            <v>Salud</v>
          </cell>
          <cell r="I23" t="str">
            <v>Tic</v>
          </cell>
          <cell r="J23" t="str">
            <v>Tic</v>
          </cell>
          <cell r="K23" t="str">
            <v>Desarrollo de la medicina personalizada</v>
          </cell>
          <cell r="L23" t="str">
            <v>Desarrollo de la medicina personalizada</v>
          </cell>
          <cell r="M23" t="str">
            <v>Empresa</v>
          </cell>
          <cell r="N23" t="str">
            <v>Empresa</v>
          </cell>
          <cell r="O23" t="str">
            <v>Pequeña</v>
          </cell>
          <cell r="P23" t="str">
            <v>Pequeña</v>
          </cell>
          <cell r="Q23" t="str">
            <v>Transferencia del conocimiento</v>
          </cell>
          <cell r="R23" t="str">
            <v>Transferencia del conocimiento</v>
          </cell>
          <cell r="S23" t="str">
            <v>NO</v>
          </cell>
          <cell r="T23" t="str">
            <v>NO</v>
          </cell>
          <cell r="U23" t="str">
            <v>Empresa de servicios</v>
          </cell>
          <cell r="V23" t="str">
            <v>NO</v>
          </cell>
          <cell r="W23" t="str">
            <v>NO</v>
          </cell>
          <cell r="Z23" t="str">
            <v>No, no tenemos intención de patentar</v>
          </cell>
          <cell r="AA23" t="str">
            <v>No, no tenemos intención de patentar</v>
          </cell>
          <cell r="AC23" t="str">
            <v>Seleccionar...</v>
          </cell>
          <cell r="AD23" t="str">
            <v>False</v>
          </cell>
        </row>
        <row r="24">
          <cell r="A24" t="str">
            <v>0011-1365-2020-000023</v>
          </cell>
          <cell r="B24" t="str">
            <v>Primer dispositivo médico de prescripción de hábitos saludables, personalizado, inteligente y evolutivo, para pacientes en fase post cirugía.</v>
          </cell>
          <cell r="C24">
            <v>258180</v>
          </cell>
          <cell r="D24">
            <v>43922</v>
          </cell>
          <cell r="E24">
            <v>44651</v>
          </cell>
          <cell r="F24" t="str">
            <v>Asier@myvitale.com</v>
          </cell>
          <cell r="G24" t="str">
            <v>Salud</v>
          </cell>
          <cell r="H24" t="str">
            <v>Salud</v>
          </cell>
          <cell r="I24" t="str">
            <v>Tic</v>
          </cell>
          <cell r="J24" t="str">
            <v>Tic</v>
          </cell>
          <cell r="K24" t="str">
            <v>Desarrollo de la medicina personalizada</v>
          </cell>
          <cell r="L24" t="str">
            <v>Desarrollo de la medicina personalizada</v>
          </cell>
          <cell r="M24" t="str">
            <v>Empresa</v>
          </cell>
          <cell r="N24" t="str">
            <v>Empresa</v>
          </cell>
          <cell r="O24" t="str">
            <v>Pequeña</v>
          </cell>
          <cell r="P24" t="str">
            <v>Pequeña</v>
          </cell>
          <cell r="Q24" t="str">
            <v>Transferencia del conocimiento</v>
          </cell>
          <cell r="R24" t="str">
            <v>Transferencia del conocimiento</v>
          </cell>
          <cell r="S24" t="str">
            <v>NO</v>
          </cell>
          <cell r="T24" t="str">
            <v>NO</v>
          </cell>
          <cell r="U24" t="str">
            <v>no procede</v>
          </cell>
          <cell r="V24" t="str">
            <v>NO</v>
          </cell>
          <cell r="W24" t="str">
            <v>NO</v>
          </cell>
          <cell r="Z24" t="str">
            <v>No, no tenemos intención de patentar</v>
          </cell>
          <cell r="AA24" t="str">
            <v>No, no tenemos intención de patentar</v>
          </cell>
          <cell r="AB24" t="str">
            <v>Sí, la publicación prevista es en revista científica q1</v>
          </cell>
          <cell r="AC24" t="str">
            <v>Sí, la publicación prevista es en revista científica q1</v>
          </cell>
          <cell r="AD24" t="str">
            <v>False</v>
          </cell>
        </row>
        <row r="25">
          <cell r="A25" t="str">
            <v>0011-1365-2020-000024</v>
          </cell>
          <cell r="B25" t="str">
            <v>Desarrollo de un producto vegetal fermentado de alto valor nutritivo y organoléptico y con aplicación como aperitivo extruido</v>
          </cell>
          <cell r="C25">
            <v>202090.2</v>
          </cell>
          <cell r="D25">
            <v>44013</v>
          </cell>
          <cell r="E25">
            <v>44651</v>
          </cell>
          <cell r="F25" t="str">
            <v>dgarcia@lev2050.com</v>
          </cell>
          <cell r="G25" t="str">
            <v>Cadena alimentaria</v>
          </cell>
          <cell r="H25" t="str">
            <v>Cadena alimentaria</v>
          </cell>
          <cell r="I25" t="str">
            <v>Biotecnología</v>
          </cell>
          <cell r="J25" t="str">
            <v>Biotecnología</v>
          </cell>
          <cell r="K25" t="str">
            <v>Apuesta por la alimentación saludable</v>
          </cell>
          <cell r="L25" t="str">
            <v>Apuesta por la alimentación saludable</v>
          </cell>
          <cell r="M25" t="str">
            <v>Empresa</v>
          </cell>
          <cell r="N25" t="str">
            <v>Empresa</v>
          </cell>
          <cell r="O25" t="str">
            <v>Pequeña</v>
          </cell>
          <cell r="P25" t="str">
            <v>Pequeña</v>
          </cell>
          <cell r="Q25" t="str">
            <v>Transferencia del conocimiento</v>
          </cell>
          <cell r="R25" t="str">
            <v>Transferencia del conocimiento</v>
          </cell>
          <cell r="S25" t="str">
            <v>SI</v>
          </cell>
          <cell r="T25" t="str">
            <v>SI</v>
          </cell>
          <cell r="U25" t="str">
            <v>15-A-108-00060574</v>
          </cell>
          <cell r="V25" t="str">
            <v>NO</v>
          </cell>
          <cell r="W25" t="str">
            <v>NO</v>
          </cell>
          <cell r="Z25" t="str">
            <v>No, no tenemos intención de patentar</v>
          </cell>
          <cell r="AA25" t="str">
            <v>No, no tenemos intención de patentar</v>
          </cell>
          <cell r="AB25" t="str">
            <v>Sí, la publicación prevista es en revista científica q1</v>
          </cell>
          <cell r="AC25" t="str">
            <v>Sí, la publicación prevista es en revista científica q1</v>
          </cell>
          <cell r="AD25" t="str">
            <v>False</v>
          </cell>
        </row>
        <row r="26">
          <cell r="A26" t="str">
            <v>0011-1365-2020-000025</v>
          </cell>
          <cell r="B26" t="str">
            <v>Desarrollo de un sistema inteligente de gestión energética de máxima eficiencia para máquinas de vending avanzadas autónomas</v>
          </cell>
          <cell r="C26">
            <v>479422.6</v>
          </cell>
          <cell r="D26">
            <v>43922</v>
          </cell>
          <cell r="E26">
            <v>44651</v>
          </cell>
          <cell r="F26" t="str">
            <v>info@muxunav.com</v>
          </cell>
          <cell r="G26" t="str">
            <v>Energías renovables y recursos</v>
          </cell>
          <cell r="H26" t="str">
            <v>Energías renovables y recursos</v>
          </cell>
          <cell r="I26" t="str">
            <v>Tic</v>
          </cell>
          <cell r="J26" t="str">
            <v>Tic</v>
          </cell>
          <cell r="K26" t="str">
            <v>Promover la economía circular</v>
          </cell>
          <cell r="L26" t="str">
            <v>Promover la economía circular</v>
          </cell>
          <cell r="M26" t="str">
            <v>Empresa</v>
          </cell>
          <cell r="N26" t="str">
            <v>Empresa</v>
          </cell>
          <cell r="O26" t="str">
            <v>Pequeña</v>
          </cell>
          <cell r="P26" t="str">
            <v>Pequeña</v>
          </cell>
          <cell r="Q26" t="str">
            <v>Individual</v>
          </cell>
          <cell r="R26" t="str">
            <v>Individual</v>
          </cell>
          <cell r="S26" t="str">
            <v>NO</v>
          </cell>
          <cell r="T26" t="str">
            <v>NO</v>
          </cell>
          <cell r="U26" t="str">
            <v>N/A</v>
          </cell>
          <cell r="V26" t="str">
            <v>SI</v>
          </cell>
          <cell r="W26" t="str">
            <v>SI</v>
          </cell>
          <cell r="Y26" t="str">
            <v>Gobierno de Navarra Tecnólogos 2020</v>
          </cell>
          <cell r="Z26" t="str">
            <v>Sí, la patente prevista es europea</v>
          </cell>
          <cell r="AA26" t="str">
            <v>Sí, la patente prevista es europea</v>
          </cell>
          <cell r="AB26" t="str">
            <v>No, no tenemos prevista publicación</v>
          </cell>
          <cell r="AC26" t="str">
            <v>No, no tenemos prevista publicación</v>
          </cell>
          <cell r="AD26" t="str">
            <v>False</v>
          </cell>
        </row>
        <row r="27">
          <cell r="A27" t="str">
            <v>0011-1365-2020-000026</v>
          </cell>
          <cell r="B27" t="str">
            <v>Caracterización rápida y precisa de las propiedades eléctricas y dimensionales de la superficie de elementos aeronáuticos con terahercios.</v>
          </cell>
          <cell r="C27">
            <v>505144</v>
          </cell>
          <cell r="D27">
            <v>43922</v>
          </cell>
          <cell r="E27">
            <v>44651</v>
          </cell>
          <cell r="F27" t="str">
            <v>emata@das-nano.com</v>
          </cell>
          <cell r="G27" t="str">
            <v>Automoción y mecatrónica</v>
          </cell>
          <cell r="H27" t="str">
            <v>Automoción y mecatrónica</v>
          </cell>
          <cell r="I27" t="str">
            <v>Tic</v>
          </cell>
          <cell r="J27" t="str">
            <v>Tic</v>
          </cell>
          <cell r="K27" t="str">
            <v>Transformación 4.0 de la industria navarra</v>
          </cell>
          <cell r="L27" t="str">
            <v>Transformación 4.0 de la industria navarra</v>
          </cell>
          <cell r="M27" t="str">
            <v>Empresa</v>
          </cell>
          <cell r="N27" t="str">
            <v>Empresa</v>
          </cell>
          <cell r="O27" t="str">
            <v>Mediana</v>
          </cell>
          <cell r="P27" t="str">
            <v>Mediana</v>
          </cell>
          <cell r="Q27" t="str">
            <v>Transferencia del conocimiento</v>
          </cell>
          <cell r="R27" t="str">
            <v>Transferencia del conocimiento</v>
          </cell>
          <cell r="S27" t="str">
            <v>SI</v>
          </cell>
          <cell r="T27" t="str">
            <v>SI</v>
          </cell>
          <cell r="U27" t="str">
            <v>15-A-205-00060489</v>
          </cell>
          <cell r="V27" t="str">
            <v>SI</v>
          </cell>
          <cell r="W27" t="str">
            <v>SI</v>
          </cell>
          <cell r="Y27" t="str">
            <v>Gobierno de Navarra Tecnólogos 2020</v>
          </cell>
          <cell r="Z27" t="str">
            <v>Sí, la patente prevista es europea</v>
          </cell>
          <cell r="AA27" t="str">
            <v>Sí, la patente prevista es europea</v>
          </cell>
          <cell r="AB27" t="str">
            <v>No, no tenemos prevista publicación</v>
          </cell>
          <cell r="AC27" t="str">
            <v>No, no tenemos prevista publicación</v>
          </cell>
          <cell r="AD27" t="str">
            <v>False</v>
          </cell>
        </row>
        <row r="28">
          <cell r="A28" t="str">
            <v>0011-1365-2020-000027</v>
          </cell>
          <cell r="B28" t="str">
            <v>GIRE-Gestión Integral del Riesgo Ergonómico</v>
          </cell>
          <cell r="C28">
            <v>445000</v>
          </cell>
          <cell r="D28">
            <v>43936</v>
          </cell>
          <cell r="E28">
            <v>44620</v>
          </cell>
          <cell r="F28" t="str">
            <v>fmunarriz@gesinor.com</v>
          </cell>
          <cell r="G28" t="str">
            <v>Salud</v>
          </cell>
          <cell r="H28" t="str">
            <v>Salud</v>
          </cell>
          <cell r="I28" t="str">
            <v>Tic</v>
          </cell>
          <cell r="J28" t="str">
            <v>Tic</v>
          </cell>
          <cell r="K28" t="str">
            <v>Desarrollo de la medicina personalizada</v>
          </cell>
          <cell r="L28" t="str">
            <v>Desarrollo de la medicina personalizada</v>
          </cell>
          <cell r="M28" t="str">
            <v>Empresa</v>
          </cell>
          <cell r="N28" t="str">
            <v>Empresa</v>
          </cell>
          <cell r="O28" t="str">
            <v>Mediana</v>
          </cell>
          <cell r="P28" t="str">
            <v>Mediana</v>
          </cell>
          <cell r="Q28" t="str">
            <v>Individual</v>
          </cell>
          <cell r="R28" t="str">
            <v>Individual</v>
          </cell>
          <cell r="S28" t="str">
            <v>NO</v>
          </cell>
          <cell r="T28" t="str">
            <v>NO</v>
          </cell>
          <cell r="U28" t="str">
            <v>NO ESTA OBLIGADA</v>
          </cell>
          <cell r="V28" t="str">
            <v>NO</v>
          </cell>
          <cell r="W28" t="str">
            <v>NO</v>
          </cell>
          <cell r="Z28" t="str">
            <v>Sí, la patente prevista es nacional</v>
          </cell>
          <cell r="AA28" t="str">
            <v>Sí, la patente prevista es nacional</v>
          </cell>
          <cell r="AB28" t="str">
            <v>Sí, la publicación prevista es en revista científica</v>
          </cell>
          <cell r="AC28" t="str">
            <v>Sí, la publicación prevista es en revista científica</v>
          </cell>
          <cell r="AD28" t="str">
            <v>False</v>
          </cell>
        </row>
        <row r="29">
          <cell r="A29" t="str">
            <v>0011-1365-2020-000028</v>
          </cell>
          <cell r="B29" t="str">
            <v xml:space="preserve">DESARROLLO DE UN DISPOSITIVO ARTROSCÓPICO PARA LA RESTAURACIÓN DEL MANGUITO ROTADOR DEL HOMBRO </v>
          </cell>
          <cell r="C29">
            <v>254203.33</v>
          </cell>
          <cell r="D29">
            <v>43922</v>
          </cell>
          <cell r="E29">
            <v>44651</v>
          </cell>
          <cell r="F29" t="str">
            <v>juan.abascal@abanzamed.com</v>
          </cell>
          <cell r="G29" t="str">
            <v>Salud</v>
          </cell>
          <cell r="H29" t="str">
            <v>Salud</v>
          </cell>
          <cell r="I29" t="str">
            <v>Biotecnología</v>
          </cell>
          <cell r="J29" t="str">
            <v>Biotecnología</v>
          </cell>
          <cell r="K29" t="str">
            <v>Aumento de la eficiencia de los servicios sanitarios</v>
          </cell>
          <cell r="L29" t="str">
            <v>Aumento de la eficiencia de los servicios sanitarios</v>
          </cell>
          <cell r="M29" t="str">
            <v>Empresa</v>
          </cell>
          <cell r="N29" t="str">
            <v>Empresa</v>
          </cell>
          <cell r="O29" t="str">
            <v>Pequeña</v>
          </cell>
          <cell r="P29" t="str">
            <v>Pequeña</v>
          </cell>
          <cell r="Q29" t="str">
            <v>Individual</v>
          </cell>
          <cell r="R29" t="str">
            <v>Individual</v>
          </cell>
          <cell r="S29" t="str">
            <v>SI</v>
          </cell>
          <cell r="T29" t="str">
            <v>SI</v>
          </cell>
          <cell r="U29" t="str">
            <v>15-B-B00-00061078</v>
          </cell>
          <cell r="V29" t="str">
            <v>SI</v>
          </cell>
          <cell r="W29" t="str">
            <v>SI</v>
          </cell>
          <cell r="Y29" t="str">
            <v>Gobierno de Navarra Ayudas a la contratación de personal investigador y tecnológico 2020</v>
          </cell>
          <cell r="Z29" t="str">
            <v>Sí, la patente prevista es europea</v>
          </cell>
          <cell r="AA29" t="str">
            <v>Sí, la patente prevista es europea</v>
          </cell>
          <cell r="AB29" t="str">
            <v>No, no tenemos prevista publicación</v>
          </cell>
          <cell r="AC29" t="str">
            <v>No, no tenemos prevista publicación</v>
          </cell>
          <cell r="AD29" t="str">
            <v>False</v>
          </cell>
        </row>
        <row r="30">
          <cell r="A30" t="str">
            <v>0011-1365-2020-000029</v>
          </cell>
          <cell r="B30" t="str">
            <v>DESARROLLO DE ESTRATEGIAS DE OPERACIÓN DE PARQUES EÓLICOS Y PROTECCIÓN DE LA AVIFAUNA</v>
          </cell>
          <cell r="C30">
            <v>611130.68999999994</v>
          </cell>
          <cell r="D30">
            <v>43922</v>
          </cell>
          <cell r="E30">
            <v>44651</v>
          </cell>
          <cell r="F30" t="str">
            <v>jjcomin@enhol.es</v>
          </cell>
          <cell r="G30" t="str">
            <v>Energías renovables y recursos</v>
          </cell>
          <cell r="H30" t="str">
            <v>Energías renovables y recursos</v>
          </cell>
          <cell r="I30" t="str">
            <v>Manufactura avanzada</v>
          </cell>
          <cell r="J30" t="str">
            <v>Manufactura avanzada</v>
          </cell>
          <cell r="K30" t="str">
            <v>Disminución del consumo de energías fósiles</v>
          </cell>
          <cell r="L30" t="str">
            <v>Disminución del consumo de energías fósiles</v>
          </cell>
          <cell r="M30" t="str">
            <v>Empresa</v>
          </cell>
          <cell r="N30" t="str">
            <v>Empresa</v>
          </cell>
          <cell r="O30" t="str">
            <v>Mediana</v>
          </cell>
          <cell r="P30" t="str">
            <v>Mediana</v>
          </cell>
          <cell r="Q30" t="str">
            <v>Individual</v>
          </cell>
          <cell r="R30" t="str">
            <v>Individual</v>
          </cell>
          <cell r="S30" t="str">
            <v>SI</v>
          </cell>
          <cell r="T30" t="str">
            <v>SI</v>
          </cell>
          <cell r="V30" t="str">
            <v>NO</v>
          </cell>
          <cell r="W30" t="str">
            <v>NO</v>
          </cell>
          <cell r="Z30" t="str">
            <v>No, no tenemos intención de patentar</v>
          </cell>
          <cell r="AA30" t="str">
            <v>No, no tenemos intención de patentar</v>
          </cell>
          <cell r="AB30" t="str">
            <v>No, no tenemos prevista publicación</v>
          </cell>
          <cell r="AC30" t="str">
            <v>No, no tenemos prevista publicación</v>
          </cell>
          <cell r="AD30" t="str">
            <v>False</v>
          </cell>
        </row>
        <row r="31">
          <cell r="A31" t="str">
            <v>0011-1365-2020-000030</v>
          </cell>
          <cell r="B31" t="str">
            <v>NUEVO DESPALETIZADOR DE SEPARACIÓN DE CHAPAS DE HASTA 10 MILIMETROS ESPESOR PARA ALMACÉN AUTOMÁTICO</v>
          </cell>
          <cell r="C31">
            <v>326639.5</v>
          </cell>
          <cell r="D31">
            <v>43922</v>
          </cell>
          <cell r="E31">
            <v>44377</v>
          </cell>
          <cell r="F31" t="str">
            <v>pablo@talleresroiri.com</v>
          </cell>
          <cell r="G31" t="str">
            <v>Automoción y mecatrónica</v>
          </cell>
          <cell r="H31" t="str">
            <v>Automoción y mecatrónica</v>
          </cell>
          <cell r="I31" t="str">
            <v>Manufactura avanzada</v>
          </cell>
          <cell r="J31" t="str">
            <v>Manufactura avanzada</v>
          </cell>
          <cell r="K31" t="str">
            <v>Transformación 4.0 de la industria navarra</v>
          </cell>
          <cell r="L31" t="str">
            <v>Transformación 4.0 de la industria navarra</v>
          </cell>
          <cell r="M31" t="str">
            <v>Empresa</v>
          </cell>
          <cell r="N31" t="str">
            <v>Empresa</v>
          </cell>
          <cell r="O31" t="str">
            <v>Pequeña</v>
          </cell>
          <cell r="P31" t="str">
            <v>Pequeña</v>
          </cell>
          <cell r="Q31" t="str">
            <v>Individual</v>
          </cell>
          <cell r="R31" t="str">
            <v>Individual</v>
          </cell>
          <cell r="S31" t="str">
            <v>SI</v>
          </cell>
          <cell r="T31" t="str">
            <v>SI</v>
          </cell>
          <cell r="V31" t="str">
            <v>NO</v>
          </cell>
          <cell r="W31" t="str">
            <v>NO</v>
          </cell>
          <cell r="Z31" t="str">
            <v>No, no tenemos intención de patentar</v>
          </cell>
          <cell r="AA31" t="str">
            <v>No, no tenemos intención de patentar</v>
          </cell>
          <cell r="AB31" t="str">
            <v>No, no tenemos prevista publicación</v>
          </cell>
          <cell r="AC31" t="str">
            <v>No, no tenemos prevista publicación</v>
          </cell>
          <cell r="AD31" t="str">
            <v>False</v>
          </cell>
        </row>
        <row r="32">
          <cell r="A32" t="str">
            <v>0011-1365-2020-000031</v>
          </cell>
          <cell r="B32" t="str">
            <v>DESARROLLO DE UNA NUEVA GOMINOLA MEDICAMENTOSA DE REEMPLAZO DE NICOTINA PARA EL TRATAMIENTO DEL TABAQUISMO</v>
          </cell>
          <cell r="C32">
            <v>644492.6</v>
          </cell>
          <cell r="D32">
            <v>43922</v>
          </cell>
          <cell r="E32">
            <v>44651</v>
          </cell>
          <cell r="F32" t="str">
            <v>perburu@geiserpharma.com</v>
          </cell>
          <cell r="G32" t="str">
            <v>Salud</v>
          </cell>
          <cell r="H32" t="str">
            <v>Salud</v>
          </cell>
          <cell r="I32" t="str">
            <v>Biotecnología</v>
          </cell>
          <cell r="J32" t="str">
            <v>Biotecnología</v>
          </cell>
          <cell r="K32" t="str">
            <v>Desarrollo de la medicina personalizada</v>
          </cell>
          <cell r="L32" t="str">
            <v>Desarrollo de la medicina personalizada</v>
          </cell>
          <cell r="M32" t="str">
            <v>Empresa</v>
          </cell>
          <cell r="N32" t="str">
            <v>Empresa</v>
          </cell>
          <cell r="O32" t="str">
            <v>Mediana</v>
          </cell>
          <cell r="P32" t="str">
            <v>Mediana</v>
          </cell>
          <cell r="Q32" t="str">
            <v>Individual</v>
          </cell>
          <cell r="R32" t="str">
            <v>Individual</v>
          </cell>
          <cell r="S32" t="str">
            <v>SI</v>
          </cell>
          <cell r="T32" t="str">
            <v>SI</v>
          </cell>
          <cell r="U32" t="str">
            <v>15-B-C00-00060463</v>
          </cell>
          <cell r="V32" t="str">
            <v>SI</v>
          </cell>
          <cell r="W32" t="str">
            <v>SI</v>
          </cell>
          <cell r="Y32" t="str">
            <v>CDTI y Ayudas para la contratación de personal investigador y tecnológico 2020</v>
          </cell>
          <cell r="Z32" t="str">
            <v>Sí, la patente prevista es europea</v>
          </cell>
          <cell r="AA32" t="str">
            <v>Sí, la patente prevista es europea</v>
          </cell>
          <cell r="AB32" t="str">
            <v>No, no tenemos prevista publicación</v>
          </cell>
          <cell r="AC32" t="str">
            <v>No, no tenemos prevista publicación</v>
          </cell>
          <cell r="AD32" t="str">
            <v>False</v>
          </cell>
        </row>
        <row r="33">
          <cell r="A33" t="str">
            <v>0011-1365-2020-000032</v>
          </cell>
          <cell r="B33" t="str">
            <v>Tratamiento de purines y compostaje de la fracción sólida de residuo mediante tratamientos físico-químicos y biológicos en sus variantes MBR y An-MBR.</v>
          </cell>
          <cell r="C33">
            <v>245.04</v>
          </cell>
          <cell r="D33">
            <v>43922</v>
          </cell>
          <cell r="E33">
            <v>44287</v>
          </cell>
          <cell r="F33" t="str">
            <v>comercial@prosimed.com</v>
          </cell>
          <cell r="G33" t="str">
            <v>Energías renovables y recursos</v>
          </cell>
          <cell r="H33" t="str">
            <v>Energías renovables y recursos</v>
          </cell>
          <cell r="I33" t="str">
            <v>Biotecnología</v>
          </cell>
          <cell r="J33" t="str">
            <v>Biotecnología</v>
          </cell>
          <cell r="K33" t="str">
            <v>Promover la economía circular</v>
          </cell>
          <cell r="L33" t="str">
            <v>Promover la economía circular</v>
          </cell>
          <cell r="M33" t="str">
            <v>Empresa</v>
          </cell>
          <cell r="N33" t="str">
            <v>Empresa</v>
          </cell>
          <cell r="O33" t="str">
            <v>Pequeña</v>
          </cell>
          <cell r="P33" t="str">
            <v>Pequeña</v>
          </cell>
          <cell r="Q33" t="str">
            <v>Individual</v>
          </cell>
          <cell r="R33" t="str">
            <v>Individual</v>
          </cell>
          <cell r="S33" t="str">
            <v>SI</v>
          </cell>
          <cell r="T33" t="str">
            <v>SI</v>
          </cell>
          <cell r="V33" t="str">
            <v>NO</v>
          </cell>
          <cell r="W33" t="str">
            <v>NO</v>
          </cell>
          <cell r="Z33" t="str">
            <v>Sí, la patente prevista es europea</v>
          </cell>
          <cell r="AA33" t="str">
            <v>Sí, la patente prevista es europea</v>
          </cell>
          <cell r="AB33" t="str">
            <v>No, no tenemos prevista publicación</v>
          </cell>
          <cell r="AC33" t="str">
            <v>No, no tenemos prevista publicación</v>
          </cell>
          <cell r="AD33" t="str">
            <v>True</v>
          </cell>
        </row>
        <row r="34">
          <cell r="A34" t="str">
            <v>0011-1365-2020-000033</v>
          </cell>
          <cell r="B34" t="str">
            <v>Desarrollo de nuevos bioinsecticidas basados en Bacillus thuringiensis (Bt) para el control del mosquito tigre (Aedes albopictus) y optimización de la producción de toxinas</v>
          </cell>
          <cell r="C34">
            <v>129227.04</v>
          </cell>
          <cell r="D34">
            <v>44075</v>
          </cell>
          <cell r="E34">
            <v>44651</v>
          </cell>
          <cell r="F34" t="str">
            <v>direccion.idab@csic.es</v>
          </cell>
          <cell r="G34" t="str">
            <v>Salud</v>
          </cell>
          <cell r="H34" t="str">
            <v>Salud</v>
          </cell>
          <cell r="I34" t="str">
            <v>Biotecnología</v>
          </cell>
          <cell r="J34" t="str">
            <v>Biotecnología</v>
          </cell>
          <cell r="K34" t="str">
            <v>Otros</v>
          </cell>
          <cell r="L34" t="str">
            <v>Otros</v>
          </cell>
          <cell r="M34" t="str">
            <v>Organismo de investigación</v>
          </cell>
          <cell r="N34" t="str">
            <v>Organismo de investigación</v>
          </cell>
          <cell r="O34" t="str">
            <v>Organismo de investigación</v>
          </cell>
          <cell r="P34" t="str">
            <v>Organismo de investigación</v>
          </cell>
          <cell r="Q34" t="str">
            <v>Transferencia del conocimiento</v>
          </cell>
          <cell r="R34" t="str">
            <v>Transferencia del conocimiento</v>
          </cell>
          <cell r="S34" t="str">
            <v>NO</v>
          </cell>
          <cell r="T34" t="str">
            <v>NO</v>
          </cell>
          <cell r="U34" t="str">
            <v>Centro de Investigación</v>
          </cell>
          <cell r="V34" t="str">
            <v>NO</v>
          </cell>
          <cell r="W34" t="str">
            <v>NO</v>
          </cell>
          <cell r="Z34" t="str">
            <v>No, no tenemos intención de patentar</v>
          </cell>
          <cell r="AA34" t="str">
            <v>No, no tenemos intención de patentar</v>
          </cell>
          <cell r="AB34" t="str">
            <v>Sí, la publicación prevista es en revista científica q1</v>
          </cell>
          <cell r="AC34" t="str">
            <v>Sí, la publicación prevista es en revista científica q1</v>
          </cell>
          <cell r="AD34" t="str">
            <v>False</v>
          </cell>
        </row>
        <row r="35">
          <cell r="A35" t="str">
            <v>0011-1365-2020-000034</v>
          </cell>
          <cell r="B35" t="str">
            <v>Desarrollo de un innovador proceso de revaloración de barricas fuera de uso para su reutilización en destilados  (REBADEST)</v>
          </cell>
          <cell r="C35">
            <v>218293</v>
          </cell>
          <cell r="D35">
            <v>43922</v>
          </cell>
          <cell r="E35">
            <v>44651</v>
          </cell>
          <cell r="F35" t="str">
            <v>cbueno@toneleriaintona.com</v>
          </cell>
          <cell r="G35" t="str">
            <v>Cadena alimentaria</v>
          </cell>
          <cell r="H35" t="str">
            <v>Cadena alimentaria</v>
          </cell>
          <cell r="I35" t="str">
            <v>Manufactura avanzada</v>
          </cell>
          <cell r="J35" t="str">
            <v>Manufactura avanzada</v>
          </cell>
          <cell r="K35" t="str">
            <v>Transformación 4.0 de la industria navarra</v>
          </cell>
          <cell r="L35" t="str">
            <v>Transformación 4.0 de la industria navarra</v>
          </cell>
          <cell r="M35" t="str">
            <v>Empresa</v>
          </cell>
          <cell r="N35" t="str">
            <v>Empresa</v>
          </cell>
          <cell r="O35" t="str">
            <v>Grande</v>
          </cell>
          <cell r="P35" t="str">
            <v>Grande</v>
          </cell>
          <cell r="Q35" t="str">
            <v>Cooperativo</v>
          </cell>
          <cell r="R35" t="str">
            <v>Cooperativo</v>
          </cell>
          <cell r="S35" t="str">
            <v>SI</v>
          </cell>
          <cell r="T35" t="str">
            <v>SI</v>
          </cell>
          <cell r="V35" t="str">
            <v>NO</v>
          </cell>
          <cell r="W35" t="str">
            <v>NO</v>
          </cell>
          <cell r="Z35" t="str">
            <v>No, no tenemos intención de patentar</v>
          </cell>
          <cell r="AA35" t="str">
            <v>No, no tenemos intención de patentar</v>
          </cell>
          <cell r="AB35" t="str">
            <v>No, no tenemos prevista publicación</v>
          </cell>
          <cell r="AC35" t="str">
            <v>No, no tenemos prevista publicación</v>
          </cell>
          <cell r="AD35" t="str">
            <v>False</v>
          </cell>
        </row>
        <row r="36">
          <cell r="A36" t="str">
            <v>0011-1365-2020-000035</v>
          </cell>
          <cell r="B36" t="str">
            <v>Nuevas topologías de antenas planas y tecnologías de fabricación aplicadas a SatCOM y New Space – NEWPASS</v>
          </cell>
          <cell r="C36">
            <v>124240</v>
          </cell>
          <cell r="D36">
            <v>43922</v>
          </cell>
          <cell r="E36">
            <v>44651</v>
          </cell>
          <cell r="F36" t="str">
            <v>direccion@anteral.com</v>
          </cell>
          <cell r="G36" t="str">
            <v>Automoción y mecatrónica</v>
          </cell>
          <cell r="H36" t="str">
            <v>Automoción y mecatrónica</v>
          </cell>
          <cell r="I36" t="str">
            <v>Manufactura avanzada</v>
          </cell>
          <cell r="J36" t="str">
            <v>Manufactura avanzada</v>
          </cell>
          <cell r="K36" t="str">
            <v>Transformación 4.0 de la industria navarra</v>
          </cell>
          <cell r="L36" t="str">
            <v>Transformación 4.0 de la industria navarra</v>
          </cell>
          <cell r="M36" t="str">
            <v>Empresa</v>
          </cell>
          <cell r="N36" t="str">
            <v>Empresa</v>
          </cell>
          <cell r="O36" t="str">
            <v>Pequeña</v>
          </cell>
          <cell r="P36" t="str">
            <v>Pequeña</v>
          </cell>
          <cell r="Q36" t="str">
            <v>Transferencia del conocimiento</v>
          </cell>
          <cell r="R36" t="str">
            <v>Transferencia del conocimiento</v>
          </cell>
          <cell r="S36" t="str">
            <v>SI</v>
          </cell>
          <cell r="T36" t="str">
            <v>SI</v>
          </cell>
          <cell r="V36" t="str">
            <v>NO</v>
          </cell>
          <cell r="W36" t="str">
            <v>NO</v>
          </cell>
          <cell r="Z36" t="str">
            <v>No, no tenemos intención de patentar</v>
          </cell>
          <cell r="AA36" t="str">
            <v>No, no tenemos intención de patentar</v>
          </cell>
          <cell r="AB36" t="str">
            <v>No, no tenemos prevista publicación</v>
          </cell>
          <cell r="AC36" t="str">
            <v>No, no tenemos prevista publicación</v>
          </cell>
          <cell r="AD36" t="str">
            <v>False</v>
          </cell>
        </row>
        <row r="37">
          <cell r="A37" t="str">
            <v>0011-1365-2020-000036</v>
          </cell>
          <cell r="B37" t="str">
            <v>Desarrollo de una plataforma de nutrición personalizada para pacientes con cáncer colorrectal metastásio (ONCOME)</v>
          </cell>
          <cell r="C37">
            <v>79112</v>
          </cell>
          <cell r="D37">
            <v>43922</v>
          </cell>
          <cell r="E37">
            <v>44651</v>
          </cell>
          <cell r="F37" t="str">
            <v>administracion@nutricion3g.es</v>
          </cell>
          <cell r="G37" t="str">
            <v>Salud</v>
          </cell>
          <cell r="H37" t="str">
            <v>Salud</v>
          </cell>
          <cell r="I37" t="str">
            <v>Biotecnología</v>
          </cell>
          <cell r="J37" t="str">
            <v>Biotecnología</v>
          </cell>
          <cell r="K37" t="str">
            <v>Desarrollo de la medicina personalizada</v>
          </cell>
          <cell r="L37" t="str">
            <v>Desarrollo de la medicina personalizada</v>
          </cell>
          <cell r="M37" t="str">
            <v>Empresa</v>
          </cell>
          <cell r="N37" t="str">
            <v>Empresa</v>
          </cell>
          <cell r="O37" t="str">
            <v>Pequeña</v>
          </cell>
          <cell r="P37" t="str">
            <v>Pequeña</v>
          </cell>
          <cell r="Q37" t="str">
            <v>Transferencia del conocimiento</v>
          </cell>
          <cell r="R37" t="str">
            <v>Transferencia del conocimiento</v>
          </cell>
          <cell r="S37" t="str">
            <v>NO</v>
          </cell>
          <cell r="T37" t="str">
            <v>NO</v>
          </cell>
          <cell r="U37" t="str">
            <v>No está obigada a la inscripción</v>
          </cell>
          <cell r="V37" t="str">
            <v>NO</v>
          </cell>
          <cell r="W37" t="str">
            <v>NO</v>
          </cell>
          <cell r="Z37" t="str">
            <v>No, no tenemos intención de patentar</v>
          </cell>
          <cell r="AA37" t="str">
            <v>No, no tenemos intención de patentar</v>
          </cell>
          <cell r="AB37" t="str">
            <v>Sí, la publicación prevista es en revista científica q1</v>
          </cell>
          <cell r="AC37" t="str">
            <v>Sí, la publicación prevista es en revista científica q1</v>
          </cell>
          <cell r="AD37" t="str">
            <v>False</v>
          </cell>
        </row>
        <row r="38">
          <cell r="A38" t="str">
            <v>0011-1365-2020-000037</v>
          </cell>
          <cell r="B38" t="str">
            <v xml:space="preserve">NUEVO DISPOSITIVO PARA LA MEJORA DE LA CONDICIÓN FÍSICA EN PÚBLICO INFANTIL Y ADULTOS MAYORES </v>
          </cell>
          <cell r="C38">
            <v>128543.08</v>
          </cell>
          <cell r="D38">
            <v>43922</v>
          </cell>
          <cell r="E38">
            <v>44286</v>
          </cell>
          <cell r="F38" t="str">
            <v>info@pitk.net</v>
          </cell>
          <cell r="G38" t="str">
            <v>Salud</v>
          </cell>
          <cell r="H38" t="str">
            <v>Salud</v>
          </cell>
          <cell r="I38" t="str">
            <v>Manufactura avanzada</v>
          </cell>
          <cell r="J38" t="str">
            <v>Manufactura avanzada</v>
          </cell>
          <cell r="K38" t="str">
            <v>Aumento de la eficiencia de los servicios sanitarios</v>
          </cell>
          <cell r="L38" t="str">
            <v>Aumento de la eficiencia de los servicios sanitarios</v>
          </cell>
          <cell r="M38" t="str">
            <v>Empresa</v>
          </cell>
          <cell r="N38" t="str">
            <v>Empresa</v>
          </cell>
          <cell r="O38" t="str">
            <v>Pequeña</v>
          </cell>
          <cell r="P38" t="str">
            <v>Pequeña</v>
          </cell>
          <cell r="Q38" t="str">
            <v>Individual</v>
          </cell>
          <cell r="R38" t="str">
            <v>Individual</v>
          </cell>
          <cell r="S38" t="str">
            <v>SI</v>
          </cell>
          <cell r="T38" t="str">
            <v>SI</v>
          </cell>
          <cell r="V38" t="str">
            <v>NO</v>
          </cell>
          <cell r="W38" t="str">
            <v>NO</v>
          </cell>
          <cell r="Z38" t="str">
            <v>No, no tenemos intención de patentar</v>
          </cell>
          <cell r="AA38" t="str">
            <v>No, no tenemos intención de patentar</v>
          </cell>
          <cell r="AB38" t="str">
            <v>No, no tenemos prevista publicación</v>
          </cell>
          <cell r="AC38" t="str">
            <v>No, no tenemos prevista publicación</v>
          </cell>
          <cell r="AD38" t="str">
            <v>False</v>
          </cell>
        </row>
        <row r="39">
          <cell r="A39" t="str">
            <v>0011-1365-2020-000038</v>
          </cell>
          <cell r="B39" t="str">
            <v>Tratamiento de purines y compostaje de la fracción sólida de residuo mediante tratamientos físico-químicos y biológicos en sus variantes MBR y An-MBR.</v>
          </cell>
          <cell r="C39">
            <v>245041.93</v>
          </cell>
          <cell r="D39">
            <v>43922</v>
          </cell>
          <cell r="E39">
            <v>44287</v>
          </cell>
          <cell r="F39" t="str">
            <v>comercial@prosimed.com</v>
          </cell>
          <cell r="G39" t="str">
            <v>Energías renovables y recursos</v>
          </cell>
          <cell r="H39" t="str">
            <v>Energías renovables y recursos</v>
          </cell>
          <cell r="I39" t="str">
            <v>Biotecnología</v>
          </cell>
          <cell r="J39" t="str">
            <v>Biotecnología</v>
          </cell>
          <cell r="K39" t="str">
            <v>Promover la economía circular</v>
          </cell>
          <cell r="L39" t="str">
            <v>Promover la economía circular</v>
          </cell>
          <cell r="M39" t="str">
            <v>Empresa</v>
          </cell>
          <cell r="N39" t="str">
            <v>Empresa</v>
          </cell>
          <cell r="O39" t="str">
            <v>Mediana</v>
          </cell>
          <cell r="P39" t="str">
            <v>Mediana</v>
          </cell>
          <cell r="Q39" t="str">
            <v>Individual</v>
          </cell>
          <cell r="R39" t="str">
            <v>Individual</v>
          </cell>
          <cell r="S39" t="str">
            <v>SI</v>
          </cell>
          <cell r="T39" t="str">
            <v>SI</v>
          </cell>
          <cell r="V39" t="str">
            <v>SI</v>
          </cell>
          <cell r="W39" t="str">
            <v>SI</v>
          </cell>
          <cell r="Z39" t="str">
            <v>No, no tenemos intención de patentar</v>
          </cell>
          <cell r="AA39" t="str">
            <v>No, no tenemos intención de patentar</v>
          </cell>
          <cell r="AB39" t="str">
            <v>No, no tenemos prevista publicación</v>
          </cell>
          <cell r="AC39" t="str">
            <v>No, no tenemos prevista publicación</v>
          </cell>
          <cell r="AD39" t="str">
            <v>True</v>
          </cell>
        </row>
        <row r="40">
          <cell r="A40" t="str">
            <v>0011-1365-2020-000039</v>
          </cell>
          <cell r="B40" t="str">
            <v xml:space="preserve">Desarrollo de una platafOrma de Nutrición personalizada para pacientes con cáncer COlorrectal MEtastásico (ONCOME) </v>
          </cell>
          <cell r="C40">
            <v>107196.9</v>
          </cell>
          <cell r="D40">
            <v>43922</v>
          </cell>
          <cell r="E40">
            <v>44651</v>
          </cell>
          <cell r="F40" t="str">
            <v>fmiguels@navarra.es</v>
          </cell>
          <cell r="G40" t="str">
            <v>Salud</v>
          </cell>
          <cell r="H40" t="str">
            <v>Salud</v>
          </cell>
          <cell r="I40" t="str">
            <v>Biotecnología</v>
          </cell>
          <cell r="J40" t="str">
            <v>Biotecnología</v>
          </cell>
          <cell r="K40" t="str">
            <v>Desarrollo de la medicina personalizada</v>
          </cell>
          <cell r="L40" t="str">
            <v>Desarrollo de la medicina personalizada</v>
          </cell>
          <cell r="M40" t="str">
            <v>Organismo de investigación</v>
          </cell>
          <cell r="N40" t="str">
            <v>Organismo de investigación</v>
          </cell>
          <cell r="O40" t="str">
            <v>Organismo de investigación</v>
          </cell>
          <cell r="P40" t="str">
            <v>Organismo de investigación</v>
          </cell>
          <cell r="Q40" t="str">
            <v>Transferencia del conocimiento</v>
          </cell>
          <cell r="R40" t="str">
            <v>Transferencia del conocimiento</v>
          </cell>
          <cell r="S40" t="str">
            <v>NO</v>
          </cell>
          <cell r="T40" t="str">
            <v>NO</v>
          </cell>
          <cell r="U40" t="str">
            <v>No Aplica</v>
          </cell>
          <cell r="V40" t="str">
            <v>NO</v>
          </cell>
          <cell r="W40" t="str">
            <v>NO</v>
          </cell>
          <cell r="Z40" t="str">
            <v>No, no tenemos intención de patentar</v>
          </cell>
          <cell r="AA40" t="str">
            <v>No, no tenemos intención de patentar</v>
          </cell>
          <cell r="AB40" t="str">
            <v>Sí, la publicación prevista es en revista científica q1</v>
          </cell>
          <cell r="AC40" t="str">
            <v>Sí, la publicación prevista es en revista científica q1</v>
          </cell>
          <cell r="AD40" t="str">
            <v>False</v>
          </cell>
        </row>
        <row r="41">
          <cell r="A41" t="str">
            <v>0011-1365-2020-000040</v>
          </cell>
          <cell r="B41" t="str">
            <v>POSTBIÓTICOS PARA EL TRATAMIENTO Y CONTROL DE ENFERMEDADES INFECCIOSAS EN POLLO BROILER Y TRUCHA ARCOÍRIS</v>
          </cell>
          <cell r="C41">
            <v>257113.9</v>
          </cell>
          <cell r="D41">
            <v>43922</v>
          </cell>
          <cell r="E41">
            <v>44651</v>
          </cell>
          <cell r="F41" t="str">
            <v>oficina@pentabiol.es</v>
          </cell>
          <cell r="G41" t="str">
            <v>Cadena alimentaria</v>
          </cell>
          <cell r="H41" t="str">
            <v>Cadena alimentaria</v>
          </cell>
          <cell r="I41" t="str">
            <v>Biotecnología</v>
          </cell>
          <cell r="J41" t="str">
            <v>Biotecnología</v>
          </cell>
          <cell r="K41" t="str">
            <v>Apuesta por la alimentación saludable</v>
          </cell>
          <cell r="L41" t="str">
            <v>Apuesta por la alimentación saludable</v>
          </cell>
          <cell r="M41" t="str">
            <v>Empresa</v>
          </cell>
          <cell r="N41" t="str">
            <v>Empresa</v>
          </cell>
          <cell r="O41" t="str">
            <v>Pequeña</v>
          </cell>
          <cell r="P41" t="str">
            <v>Pequeña</v>
          </cell>
          <cell r="Q41" t="str">
            <v>Individual</v>
          </cell>
          <cell r="R41" t="str">
            <v>Individual</v>
          </cell>
          <cell r="S41" t="str">
            <v>SI</v>
          </cell>
          <cell r="T41" t="str">
            <v>SI</v>
          </cell>
          <cell r="U41" t="str">
            <v>15-A-109-00060381</v>
          </cell>
          <cell r="V41" t="str">
            <v>SI</v>
          </cell>
          <cell r="W41" t="str">
            <v>SI</v>
          </cell>
          <cell r="Y41" t="str">
            <v>CDTI Cervera/Ayudas a la contratación de personal investigador y tecnológico 2020</v>
          </cell>
          <cell r="Z41" t="str">
            <v>Sí, la patente prevista es europea</v>
          </cell>
          <cell r="AA41" t="str">
            <v>Sí, la patente prevista es europea</v>
          </cell>
          <cell r="AB41" t="str">
            <v>Sí, la publicación prevista es en revista científica q1</v>
          </cell>
          <cell r="AC41" t="str">
            <v>Sí, la publicación prevista es en revista científica q1</v>
          </cell>
          <cell r="AD41" t="str">
            <v>False</v>
          </cell>
        </row>
        <row r="42">
          <cell r="A42" t="str">
            <v>0011-1365-2020-000041</v>
          </cell>
          <cell r="B42" t="str">
            <v>LONGBOARD A PARTIR DE RESIDUOS ORGÁNICOS</v>
          </cell>
          <cell r="C42">
            <v>106200</v>
          </cell>
          <cell r="D42">
            <v>43922</v>
          </cell>
          <cell r="E42">
            <v>44651</v>
          </cell>
          <cell r="F42" t="str">
            <v>judith@goatlongboards.com</v>
          </cell>
          <cell r="G42" t="str">
            <v>Otros</v>
          </cell>
          <cell r="H42" t="str">
            <v>Otros</v>
          </cell>
          <cell r="I42" t="str">
            <v>Manufactura avanzada</v>
          </cell>
          <cell r="J42" t="str">
            <v>Manufactura avanzada</v>
          </cell>
          <cell r="K42" t="str">
            <v>Promover la economía circular</v>
          </cell>
          <cell r="L42" t="str">
            <v>Promover la economía circular</v>
          </cell>
          <cell r="M42" t="str">
            <v>Empresa</v>
          </cell>
          <cell r="N42" t="str">
            <v>Empresa</v>
          </cell>
          <cell r="O42" t="str">
            <v>Pequeña</v>
          </cell>
          <cell r="P42" t="str">
            <v>Pequeña</v>
          </cell>
          <cell r="Q42" t="str">
            <v>Individual</v>
          </cell>
          <cell r="R42" t="str">
            <v>Individual</v>
          </cell>
          <cell r="S42" t="str">
            <v>SI</v>
          </cell>
          <cell r="T42" t="str">
            <v>SI</v>
          </cell>
          <cell r="V42" t="str">
            <v>NO</v>
          </cell>
          <cell r="W42" t="str">
            <v>NO</v>
          </cell>
          <cell r="Z42" t="str">
            <v>No, no tenemos intención de patentar</v>
          </cell>
          <cell r="AA42" t="str">
            <v>No, no tenemos intención de patentar</v>
          </cell>
          <cell r="AC42" t="str">
            <v>Seleccionar...</v>
          </cell>
          <cell r="AD42" t="str">
            <v>False</v>
          </cell>
        </row>
        <row r="43">
          <cell r="A43" t="str">
            <v>0011-1365-2020-000042</v>
          </cell>
          <cell r="B43" t="str">
            <v>Sistema de digestión aerobia industrial</v>
          </cell>
          <cell r="C43">
            <v>185125</v>
          </cell>
          <cell r="D43">
            <v>43931</v>
          </cell>
          <cell r="E43">
            <v>44635</v>
          </cell>
          <cell r="F43" t="str">
            <v>azubialde@tkin.eu</v>
          </cell>
          <cell r="G43" t="str">
            <v>Energías renovables y recursos</v>
          </cell>
          <cell r="H43" t="str">
            <v>Energías renovables y recursos</v>
          </cell>
          <cell r="I43" t="str">
            <v>Manufactura avanzada</v>
          </cell>
          <cell r="J43" t="str">
            <v>Manufactura avanzada</v>
          </cell>
          <cell r="K43" t="str">
            <v>Promover la economía circular</v>
          </cell>
          <cell r="L43" t="str">
            <v>Promover la economía circular</v>
          </cell>
          <cell r="M43" t="str">
            <v>Empresa</v>
          </cell>
          <cell r="N43" t="str">
            <v>Empresa</v>
          </cell>
          <cell r="O43" t="str">
            <v>Pequeña</v>
          </cell>
          <cell r="P43" t="str">
            <v>Pequeña</v>
          </cell>
          <cell r="Q43" t="str">
            <v>Individual</v>
          </cell>
          <cell r="R43" t="str">
            <v>Individual</v>
          </cell>
          <cell r="S43" t="str">
            <v>SI</v>
          </cell>
          <cell r="T43" t="str">
            <v>SI</v>
          </cell>
          <cell r="V43" t="str">
            <v>NO</v>
          </cell>
          <cell r="W43" t="str">
            <v>NO</v>
          </cell>
          <cell r="Z43" t="str">
            <v>Sí, la patente prevista es europea</v>
          </cell>
          <cell r="AA43" t="str">
            <v>Sí, la patente prevista es europea</v>
          </cell>
          <cell r="AB43" t="str">
            <v>No, no tenemos prevista publicación</v>
          </cell>
          <cell r="AC43" t="str">
            <v>No, no tenemos prevista publicación</v>
          </cell>
          <cell r="AD43" t="str">
            <v>False</v>
          </cell>
        </row>
        <row r="44">
          <cell r="A44" t="str">
            <v>0011-1365-2020-000043</v>
          </cell>
          <cell r="B44" t="str">
            <v>LONGBOARD A PARTIR DE RESIDUOS ORGÁNICOS</v>
          </cell>
          <cell r="C44">
            <v>106.2</v>
          </cell>
          <cell r="D44">
            <v>43831</v>
          </cell>
          <cell r="E44">
            <v>44651</v>
          </cell>
          <cell r="F44" t="str">
            <v>judith@goatlongboards.com</v>
          </cell>
          <cell r="G44" t="str">
            <v>Otros</v>
          </cell>
          <cell r="H44" t="str">
            <v>Otros</v>
          </cell>
          <cell r="I44" t="str">
            <v>Manufactura avanzada</v>
          </cell>
          <cell r="J44" t="str">
            <v>Manufactura avanzada</v>
          </cell>
          <cell r="K44" t="str">
            <v>Promover la economía circular</v>
          </cell>
          <cell r="L44" t="str">
            <v>Promover la economía circular</v>
          </cell>
          <cell r="M44" t="str">
            <v>Empresa</v>
          </cell>
          <cell r="N44" t="str">
            <v>Empresa</v>
          </cell>
          <cell r="O44" t="str">
            <v>Pequeña</v>
          </cell>
          <cell r="P44" t="str">
            <v>Pequeña</v>
          </cell>
          <cell r="Q44" t="str">
            <v>Individual</v>
          </cell>
          <cell r="R44" t="str">
            <v>Individual</v>
          </cell>
          <cell r="S44" t="str">
            <v>SI</v>
          </cell>
          <cell r="T44" t="str">
            <v>SI</v>
          </cell>
          <cell r="V44" t="str">
            <v>NO</v>
          </cell>
          <cell r="W44" t="str">
            <v>NO</v>
          </cell>
          <cell r="Z44" t="str">
            <v>No, no tenemos intención de patentar</v>
          </cell>
          <cell r="AA44" t="str">
            <v>No, no tenemos intención de patentar</v>
          </cell>
          <cell r="AB44" t="str">
            <v>No, no tenemos prevista publicación</v>
          </cell>
          <cell r="AC44" t="str">
            <v>No, no tenemos prevista publicación</v>
          </cell>
          <cell r="AD44" t="str">
            <v>False</v>
          </cell>
        </row>
        <row r="45">
          <cell r="A45" t="str">
            <v>0011-1365-2020-000044</v>
          </cell>
          <cell r="B45" t="str">
            <v xml:space="preserve"> NUEVA GAMA DE ASIENTOS DE AUTOMÓVIL DE ALTA SEGURIDAD PARA VEHÍCULOS COMPACTOS</v>
          </cell>
          <cell r="C45">
            <v>641580.04</v>
          </cell>
          <cell r="D45">
            <v>43922</v>
          </cell>
          <cell r="E45">
            <v>44469</v>
          </cell>
          <cell r="F45" t="str">
            <v>jesus.urriza@faurecia.com</v>
          </cell>
          <cell r="G45" t="str">
            <v>Automoción y mecatrónica</v>
          </cell>
          <cell r="H45" t="str">
            <v>Automoción y mecatrónica</v>
          </cell>
          <cell r="I45" t="str">
            <v>Manufactura avanzada</v>
          </cell>
          <cell r="J45" t="str">
            <v>Manufactura avanzada</v>
          </cell>
          <cell r="K45" t="str">
            <v>Transformación 4.0 de la industria navarra</v>
          </cell>
          <cell r="L45" t="str">
            <v>Transformación 4.0 de la industria navarra</v>
          </cell>
          <cell r="M45" t="str">
            <v>Empresa</v>
          </cell>
          <cell r="N45" t="str">
            <v>Empresa</v>
          </cell>
          <cell r="O45" t="str">
            <v>Grande</v>
          </cell>
          <cell r="P45" t="str">
            <v>Grande</v>
          </cell>
          <cell r="Q45" t="str">
            <v>Individual</v>
          </cell>
          <cell r="R45" t="str">
            <v>Individual</v>
          </cell>
          <cell r="S45" t="str">
            <v>SI</v>
          </cell>
          <cell r="T45" t="str">
            <v>SI</v>
          </cell>
          <cell r="V45" t="str">
            <v>NO</v>
          </cell>
          <cell r="W45" t="str">
            <v>NO</v>
          </cell>
          <cell r="Z45" t="str">
            <v>No, no tenemos intención de patentar</v>
          </cell>
          <cell r="AA45" t="str">
            <v>No, no tenemos intención de patentar</v>
          </cell>
          <cell r="AB45" t="str">
            <v>No, no tenemos prevista publicación</v>
          </cell>
          <cell r="AC45" t="str">
            <v>No, no tenemos prevista publicación</v>
          </cell>
          <cell r="AD45" t="str">
            <v>False</v>
          </cell>
        </row>
        <row r="46">
          <cell r="A46" t="str">
            <v>0011-1365-2020-000045</v>
          </cell>
          <cell r="B46" t="str">
            <v>CARACTERIZACIÓN RÁPIDA Y PRECISA DE LAS PROPIEDADES ELÉCTRICAS Y DIMENSIONALES DE LA SUPERFICIE DE ELEMENTOS AERONÁUTICOS CON TERAHERCIOS (AEROTERA)</v>
          </cell>
          <cell r="C46">
            <v>146574</v>
          </cell>
          <cell r="D46">
            <v>43922</v>
          </cell>
          <cell r="E46">
            <v>44651</v>
          </cell>
          <cell r="F46" t="str">
            <v>vicerrectorado.investigacion@unavarra.es</v>
          </cell>
          <cell r="G46" t="str">
            <v>Automoción y mecatrónica</v>
          </cell>
          <cell r="H46" t="str">
            <v>Automoción y mecatrónica</v>
          </cell>
          <cell r="I46" t="str">
            <v>Tic</v>
          </cell>
          <cell r="J46" t="str">
            <v>Tic</v>
          </cell>
          <cell r="K46" t="str">
            <v>Transformación 4.0 de la industria navarra</v>
          </cell>
          <cell r="L46" t="str">
            <v>Transformación 4.0 de la industria navarra</v>
          </cell>
          <cell r="M46" t="str">
            <v>Organismo de investigación</v>
          </cell>
          <cell r="N46" t="str">
            <v>Organismo de investigación</v>
          </cell>
          <cell r="O46" t="str">
            <v>Organismo de investigación</v>
          </cell>
          <cell r="P46" t="str">
            <v>Organismo de investigación</v>
          </cell>
          <cell r="Q46" t="str">
            <v>Transferencia del conocimiento</v>
          </cell>
          <cell r="R46" t="str">
            <v>Transferencia del conocimiento</v>
          </cell>
          <cell r="S46" t="str">
            <v>NO</v>
          </cell>
          <cell r="T46" t="str">
            <v>NO</v>
          </cell>
          <cell r="U46" t="str">
            <v>Universidad Publica</v>
          </cell>
          <cell r="V46" t="str">
            <v>NO</v>
          </cell>
          <cell r="W46" t="str">
            <v>NO</v>
          </cell>
          <cell r="Z46" t="str">
            <v>Sí, la patente prevista es europea</v>
          </cell>
          <cell r="AA46" t="str">
            <v>Sí, la patente prevista es europea</v>
          </cell>
          <cell r="AB46" t="str">
            <v>Sí, la publicación prevista es en revista científica q1</v>
          </cell>
          <cell r="AC46" t="str">
            <v>Sí, la publicación prevista es en revista científica q1</v>
          </cell>
          <cell r="AD46" t="str">
            <v>False</v>
          </cell>
        </row>
        <row r="47">
          <cell r="A47" t="str">
            <v>0011-1365-2020-000046</v>
          </cell>
          <cell r="B47" t="str">
            <v>NUEVO ENVASADO SOSTENIBLE SUSTITUTIVO DEL PLÁSTICO PARA ALIMENTOS CONGELADOS V GAMA</v>
          </cell>
          <cell r="C47">
            <v>464513.39</v>
          </cell>
          <cell r="D47">
            <v>43922</v>
          </cell>
          <cell r="E47">
            <v>44651</v>
          </cell>
          <cell r="F47" t="str">
            <v>ander.ugalde@smurfitkappa.es</v>
          </cell>
          <cell r="G47" t="str">
            <v>Energías renovables y recursos</v>
          </cell>
          <cell r="H47" t="str">
            <v>Energías renovables y recursos</v>
          </cell>
          <cell r="I47" t="str">
            <v>Manufactura avanzada</v>
          </cell>
          <cell r="J47" t="str">
            <v>Manufactura avanzada</v>
          </cell>
          <cell r="K47" t="str">
            <v>Promover la economía circular</v>
          </cell>
          <cell r="L47" t="str">
            <v>Promover la economía circular</v>
          </cell>
          <cell r="M47" t="str">
            <v>Empresa</v>
          </cell>
          <cell r="N47" t="str">
            <v>Empresa</v>
          </cell>
          <cell r="O47" t="str">
            <v>Grande</v>
          </cell>
          <cell r="P47" t="str">
            <v>Grande</v>
          </cell>
          <cell r="Q47" t="str">
            <v>Cooperativo</v>
          </cell>
          <cell r="R47" t="str">
            <v>Cooperativo</v>
          </cell>
          <cell r="S47" t="str">
            <v>SI</v>
          </cell>
          <cell r="T47" t="str">
            <v>SI</v>
          </cell>
          <cell r="V47" t="str">
            <v>NO</v>
          </cell>
          <cell r="W47" t="str">
            <v>NO</v>
          </cell>
          <cell r="Z47" t="str">
            <v>Sí, la patente prevista es nacional</v>
          </cell>
          <cell r="AA47" t="str">
            <v>Sí, la patente prevista es nacional</v>
          </cell>
          <cell r="AB47" t="str">
            <v>No, no tenemos prevista publicación</v>
          </cell>
          <cell r="AC47" t="str">
            <v>No, no tenemos prevista publicación</v>
          </cell>
          <cell r="AD47" t="str">
            <v>False</v>
          </cell>
        </row>
        <row r="48">
          <cell r="A48" t="str">
            <v>0011-1365-2020-000047</v>
          </cell>
          <cell r="B48" t="str">
            <v>NUEVO ENVASADO SOSTENIBLE SUSTITUTIVO DEL PLÁSTICO PARA ALIMENTOS CONGELADOS V GAMA</v>
          </cell>
          <cell r="C48">
            <v>244684.09</v>
          </cell>
          <cell r="D48">
            <v>43922</v>
          </cell>
          <cell r="E48">
            <v>44651</v>
          </cell>
          <cell r="F48" t="str">
            <v>financiero@tuttipasta.com</v>
          </cell>
          <cell r="G48" t="str">
            <v>Cadena alimentaria</v>
          </cell>
          <cell r="H48" t="str">
            <v>Cadena alimentaria</v>
          </cell>
          <cell r="I48" t="str">
            <v>Manufactura avanzada</v>
          </cell>
          <cell r="J48" t="str">
            <v>Manufactura avanzada</v>
          </cell>
          <cell r="K48" t="str">
            <v>Vertebrar la cadena de valor alimentaria</v>
          </cell>
          <cell r="L48" t="str">
            <v>Vertebrar la cadena de valor alimentaria</v>
          </cell>
          <cell r="M48" t="str">
            <v>Empresa</v>
          </cell>
          <cell r="N48" t="str">
            <v>Empresa</v>
          </cell>
          <cell r="O48" t="str">
            <v>Mediana</v>
          </cell>
          <cell r="P48" t="str">
            <v>Mediana</v>
          </cell>
          <cell r="Q48" t="str">
            <v>Cooperativo</v>
          </cell>
          <cell r="R48" t="str">
            <v>Cooperativo</v>
          </cell>
          <cell r="S48" t="str">
            <v>SI</v>
          </cell>
          <cell r="T48" t="str">
            <v>SI</v>
          </cell>
          <cell r="V48" t="str">
            <v>NO</v>
          </cell>
          <cell r="W48" t="str">
            <v>NO</v>
          </cell>
          <cell r="Z48" t="str">
            <v>No, no tenemos intención de patentar</v>
          </cell>
          <cell r="AA48" t="str">
            <v>No, no tenemos intención de patentar</v>
          </cell>
          <cell r="AB48" t="str">
            <v>No, no tenemos prevista publicación</v>
          </cell>
          <cell r="AC48" t="str">
            <v>No, no tenemos prevista publicación</v>
          </cell>
          <cell r="AD48" t="str">
            <v>False</v>
          </cell>
        </row>
        <row r="49">
          <cell r="A49" t="str">
            <v>0011-1365-2020-000048</v>
          </cell>
          <cell r="B49" t="str">
            <v>Investigación de nuevas técnicas vitícolas y enológicas para la obtención de un mayor equilibrio entre la maduración fisiológica y la fenólica en variedades tintas propias de Navarra en un contexto de cambio climático (ADAPT-VIT)</v>
          </cell>
          <cell r="C49">
            <v>97158</v>
          </cell>
          <cell r="D49">
            <v>43922</v>
          </cell>
          <cell r="E49">
            <v>44651</v>
          </cell>
          <cell r="F49" t="str">
            <v>vicerrectorado.investigacion@unavarra.es</v>
          </cell>
          <cell r="G49" t="str">
            <v>Cadena alimentaria</v>
          </cell>
          <cell r="H49" t="str">
            <v>Cadena alimentaria</v>
          </cell>
          <cell r="I49" t="str">
            <v>Biotecnología</v>
          </cell>
          <cell r="J49" t="str">
            <v>Biotecnología</v>
          </cell>
          <cell r="K49" t="str">
            <v>Vertebrar la cadena de valor alimentaria</v>
          </cell>
          <cell r="L49" t="str">
            <v>Vertebrar la cadena de valor alimentaria</v>
          </cell>
          <cell r="M49" t="str">
            <v>Organismo de investigación</v>
          </cell>
          <cell r="N49" t="str">
            <v>Organismo de investigación</v>
          </cell>
          <cell r="O49" t="str">
            <v>Organismo de investigación</v>
          </cell>
          <cell r="P49" t="str">
            <v>Organismo de investigación</v>
          </cell>
          <cell r="Q49" t="str">
            <v>Transferencia del conocimiento</v>
          </cell>
          <cell r="R49" t="str">
            <v>Transferencia del conocimiento</v>
          </cell>
          <cell r="S49" t="str">
            <v>NO</v>
          </cell>
          <cell r="T49" t="str">
            <v>NO</v>
          </cell>
          <cell r="U49" t="str">
            <v>Universidad Publica</v>
          </cell>
          <cell r="W49" t="str">
            <v>Seleccionar...</v>
          </cell>
          <cell r="Z49" t="str">
            <v>No, no tenemos intención de patentar</v>
          </cell>
          <cell r="AA49" t="str">
            <v>No, no tenemos intención de patentar</v>
          </cell>
          <cell r="AB49" t="str">
            <v>Sí, la publicación prevista es en revista científica q1</v>
          </cell>
          <cell r="AC49" t="str">
            <v>Sí, la publicación prevista es en revista científica q1</v>
          </cell>
          <cell r="AD49" t="str">
            <v>False</v>
          </cell>
        </row>
        <row r="50">
          <cell r="A50" t="str">
            <v>0011-1365-2020-000049</v>
          </cell>
          <cell r="B50" t="str">
            <v>VEGGIES 2ª Y 3ª GENERACION</v>
          </cell>
          <cell r="C50">
            <v>279847.74</v>
          </cell>
          <cell r="D50">
            <v>43922</v>
          </cell>
          <cell r="E50">
            <v>44651</v>
          </cell>
          <cell r="F50" t="str">
            <v>clara.arana@grupoian.com</v>
          </cell>
          <cell r="G50" t="str">
            <v>Cadena alimentaria</v>
          </cell>
          <cell r="H50" t="str">
            <v>Cadena alimentaria</v>
          </cell>
          <cell r="I50" t="str">
            <v>Otros</v>
          </cell>
          <cell r="J50" t="str">
            <v>Otros</v>
          </cell>
          <cell r="K50" t="str">
            <v>Vertebrar la cadena de valor alimentaria</v>
          </cell>
          <cell r="L50" t="str">
            <v>Vertebrar la cadena de valor alimentaria</v>
          </cell>
          <cell r="M50" t="str">
            <v>Empresa</v>
          </cell>
          <cell r="N50" t="str">
            <v>Empresa</v>
          </cell>
          <cell r="O50" t="str">
            <v>Grande</v>
          </cell>
          <cell r="P50" t="str">
            <v>Grande</v>
          </cell>
          <cell r="Q50" t="str">
            <v>Individual</v>
          </cell>
          <cell r="R50" t="str">
            <v>Individual</v>
          </cell>
          <cell r="S50" t="str">
            <v>SI</v>
          </cell>
          <cell r="T50" t="str">
            <v>SI</v>
          </cell>
          <cell r="V50" t="str">
            <v>NO</v>
          </cell>
          <cell r="W50" t="str">
            <v>NO</v>
          </cell>
          <cell r="Z50" t="str">
            <v>No, no tenemos intención de patentar</v>
          </cell>
          <cell r="AA50" t="str">
            <v>No, no tenemos intención de patentar</v>
          </cell>
          <cell r="AB50" t="str">
            <v>No, no tenemos prevista publicación</v>
          </cell>
          <cell r="AC50" t="str">
            <v>No, no tenemos prevista publicación</v>
          </cell>
          <cell r="AD50" t="str">
            <v>False</v>
          </cell>
        </row>
        <row r="51">
          <cell r="A51" t="str">
            <v>0011-1365-2020-000050</v>
          </cell>
          <cell r="B51" t="str">
            <v>agrOPT - Investigación industrial para el desarrollo de equipamiento opto-electrónico que permita contar con fuentes de luz y sistemas detectores eficientes y de amplio espectro con aplicaciones en el sector agroalimentario.</v>
          </cell>
          <cell r="C51">
            <v>30962</v>
          </cell>
          <cell r="D51">
            <v>43922</v>
          </cell>
          <cell r="E51">
            <v>44651</v>
          </cell>
          <cell r="F51" t="str">
            <v>vicerrectorado.investigacion@unavarra.es</v>
          </cell>
          <cell r="G51" t="str">
            <v>Cadena alimentaria</v>
          </cell>
          <cell r="H51" t="str">
            <v>Cadena alimentaria</v>
          </cell>
          <cell r="I51" t="str">
            <v>Tic</v>
          </cell>
          <cell r="J51" t="str">
            <v>Tic</v>
          </cell>
          <cell r="K51" t="str">
            <v>Transformación 4.0 de la industria navarra</v>
          </cell>
          <cell r="L51" t="str">
            <v>Transformación 4.0 de la industria navarra</v>
          </cell>
          <cell r="M51" t="str">
            <v>Organismo de investigación</v>
          </cell>
          <cell r="N51" t="str">
            <v>Organismo de investigación</v>
          </cell>
          <cell r="O51" t="str">
            <v>Organismo de investigación</v>
          </cell>
          <cell r="P51" t="str">
            <v>Organismo de investigación</v>
          </cell>
          <cell r="Q51" t="str">
            <v>Transferencia del conocimiento</v>
          </cell>
          <cell r="R51" t="str">
            <v>Transferencia del conocimiento</v>
          </cell>
          <cell r="S51" t="str">
            <v>NO</v>
          </cell>
          <cell r="T51" t="str">
            <v>NO</v>
          </cell>
          <cell r="U51" t="str">
            <v>Universidad Publica</v>
          </cell>
          <cell r="V51" t="str">
            <v>SI</v>
          </cell>
          <cell r="W51" t="str">
            <v>SI</v>
          </cell>
          <cell r="X51">
            <v>43525</v>
          </cell>
          <cell r="Y51" t="str">
            <v>Contratacion Personal Tecnologico. Gobierno de Navarra</v>
          </cell>
          <cell r="Z51" t="str">
            <v>No, no tenemos intención de patentar</v>
          </cell>
          <cell r="AA51" t="str">
            <v>No, no tenemos intención de patentar</v>
          </cell>
          <cell r="AB51" t="str">
            <v>Sí, la publicación prevista es en revista científica q1</v>
          </cell>
          <cell r="AC51" t="str">
            <v>Sí, la publicación prevista es en revista científica q1</v>
          </cell>
          <cell r="AD51" t="str">
            <v>False</v>
          </cell>
        </row>
        <row r="52">
          <cell r="A52" t="str">
            <v>0011-1365-2020-000051</v>
          </cell>
          <cell r="B52" t="str">
            <v xml:space="preserve">Rehapp </v>
          </cell>
          <cell r="C52">
            <v>114500</v>
          </cell>
          <cell r="D52">
            <v>43922</v>
          </cell>
          <cell r="E52">
            <v>44561</v>
          </cell>
          <cell r="F52" t="str">
            <v>igorsetuain@gmail.com</v>
          </cell>
          <cell r="G52" t="str">
            <v>Salud</v>
          </cell>
          <cell r="H52" t="str">
            <v>Salud</v>
          </cell>
          <cell r="I52" t="str">
            <v>Otros</v>
          </cell>
          <cell r="J52" t="str">
            <v>Otros</v>
          </cell>
          <cell r="K52" t="str">
            <v>Desarrollo de la medicina personalizada</v>
          </cell>
          <cell r="L52" t="str">
            <v>Desarrollo de la medicina personalizada</v>
          </cell>
          <cell r="M52" t="str">
            <v>Empresa</v>
          </cell>
          <cell r="N52" t="str">
            <v>Empresa</v>
          </cell>
          <cell r="O52" t="str">
            <v>Pequeña</v>
          </cell>
          <cell r="P52" t="str">
            <v>Pequeña</v>
          </cell>
          <cell r="Q52" t="str">
            <v>Individual</v>
          </cell>
          <cell r="R52" t="str">
            <v>Individual</v>
          </cell>
          <cell r="S52" t="str">
            <v>SI</v>
          </cell>
          <cell r="T52" t="str">
            <v>SI</v>
          </cell>
          <cell r="V52" t="str">
            <v>NO</v>
          </cell>
          <cell r="W52" t="str">
            <v>NO</v>
          </cell>
          <cell r="Z52" t="str">
            <v>No, no tenemos intención de patentar</v>
          </cell>
          <cell r="AA52" t="str">
            <v>No, no tenemos intención de patentar</v>
          </cell>
          <cell r="AB52" t="str">
            <v>Sí, la publicación prevista es en revista científica q1</v>
          </cell>
          <cell r="AC52" t="str">
            <v>Sí, la publicación prevista es en revista científica q1</v>
          </cell>
          <cell r="AD52" t="str">
            <v>False</v>
          </cell>
        </row>
        <row r="53">
          <cell r="A53" t="str">
            <v>0011-1365-2020-000052</v>
          </cell>
          <cell r="B53" t="str">
            <v>ANÁLISIS DE ETAPAS DE SALIDA Y OPTIMIZACIÓN DE GEOMETRÍAS DE MECANIZADO PARA SATÉLITES DE ALTA CAPACIDAD EN BANDA Q</v>
          </cell>
          <cell r="C53">
            <v>49351</v>
          </cell>
          <cell r="D53">
            <v>44075</v>
          </cell>
          <cell r="E53">
            <v>44651</v>
          </cell>
          <cell r="F53" t="str">
            <v>vicerrectorado.investigacion@unavarra.es</v>
          </cell>
          <cell r="G53" t="str">
            <v>Automoción y mecatrónica</v>
          </cell>
          <cell r="H53" t="str">
            <v>Automoción y mecatrónica</v>
          </cell>
          <cell r="I53" t="str">
            <v>Manufactura avanzada</v>
          </cell>
          <cell r="J53" t="str">
            <v>Manufactura avanzada</v>
          </cell>
          <cell r="K53" t="str">
            <v>Vertebrar la cadena de valor alimentaria</v>
          </cell>
          <cell r="L53" t="str">
            <v>Vertebrar la cadena de valor alimentaria</v>
          </cell>
          <cell r="M53" t="str">
            <v>Organismo de investigación</v>
          </cell>
          <cell r="N53" t="str">
            <v>Organismo de investigación</v>
          </cell>
          <cell r="O53" t="str">
            <v>Organismo de investigación</v>
          </cell>
          <cell r="P53" t="str">
            <v>Organismo de investigación</v>
          </cell>
          <cell r="Q53" t="str">
            <v>Transferencia del conocimiento</v>
          </cell>
          <cell r="R53" t="str">
            <v>Transferencia del conocimiento</v>
          </cell>
          <cell r="S53" t="str">
            <v>NO</v>
          </cell>
          <cell r="T53" t="str">
            <v>NO</v>
          </cell>
          <cell r="U53" t="str">
            <v>Universidad Publica</v>
          </cell>
          <cell r="W53" t="str">
            <v>Seleccionar...</v>
          </cell>
          <cell r="Z53" t="str">
            <v>No, no tenemos intención de patentar</v>
          </cell>
          <cell r="AA53" t="str">
            <v>No, no tenemos intención de patentar</v>
          </cell>
          <cell r="AB53" t="str">
            <v>Sí, la publicación prevista es en revista científica q1</v>
          </cell>
          <cell r="AC53" t="str">
            <v>Sí, la publicación prevista es en revista científica q1</v>
          </cell>
          <cell r="AD53" t="str">
            <v>False</v>
          </cell>
        </row>
        <row r="54">
          <cell r="A54" t="str">
            <v>0011-1365-2020-000053</v>
          </cell>
          <cell r="B54" t="str">
            <v>BARANDILLAS SOBRECUBIERTA DE ALTA RESISTENCIA - BARHD</v>
          </cell>
          <cell r="C54">
            <v>94232</v>
          </cell>
          <cell r="D54">
            <v>43922</v>
          </cell>
          <cell r="E54">
            <v>44651</v>
          </cell>
          <cell r="F54" t="str">
            <v>vicerrectorado.investigacion@unavarra.es</v>
          </cell>
          <cell r="G54" t="str">
            <v>Energías renovables y recursos</v>
          </cell>
          <cell r="H54" t="str">
            <v>Energías renovables y recursos</v>
          </cell>
          <cell r="I54" t="str">
            <v>Otros</v>
          </cell>
          <cell r="J54" t="str">
            <v>Otros</v>
          </cell>
          <cell r="K54" t="str">
            <v>Promover la economía circular</v>
          </cell>
          <cell r="L54" t="str">
            <v>Promover la economía circular</v>
          </cell>
          <cell r="M54" t="str">
            <v>Organismo de investigación</v>
          </cell>
          <cell r="N54" t="str">
            <v>Organismo de investigación</v>
          </cell>
          <cell r="O54" t="str">
            <v>Organismo de investigación</v>
          </cell>
          <cell r="P54" t="str">
            <v>Organismo de investigación</v>
          </cell>
          <cell r="Q54" t="str">
            <v>Transferencia del conocimiento</v>
          </cell>
          <cell r="R54" t="str">
            <v>Transferencia del conocimiento</v>
          </cell>
          <cell r="S54" t="str">
            <v>NO</v>
          </cell>
          <cell r="T54" t="str">
            <v>NO</v>
          </cell>
          <cell r="U54" t="str">
            <v>Universidad Publica</v>
          </cell>
          <cell r="V54" t="str">
            <v>NO</v>
          </cell>
          <cell r="W54" t="str">
            <v>NO</v>
          </cell>
          <cell r="Z54" t="str">
            <v>No, no tenemos intención de patentar</v>
          </cell>
          <cell r="AA54" t="str">
            <v>No, no tenemos intención de patentar</v>
          </cell>
          <cell r="AB54" t="str">
            <v>Sí, la publicación prevista es en revista científica q1</v>
          </cell>
          <cell r="AC54" t="str">
            <v>Sí, la publicación prevista es en revista científica q1</v>
          </cell>
          <cell r="AD54" t="str">
            <v>False</v>
          </cell>
        </row>
        <row r="55">
          <cell r="A55" t="str">
            <v>0011-1365-2020-000054</v>
          </cell>
          <cell r="B55" t="str">
            <v>NUEVA GAMA DE EMBUTIDOS FERMENTADOS POR PROCESOS ARTESANALES (ARTESANO)</v>
          </cell>
          <cell r="C55">
            <v>288100</v>
          </cell>
          <cell r="D55">
            <v>43922</v>
          </cell>
          <cell r="E55">
            <v>44651</v>
          </cell>
          <cell r="F55" t="str">
            <v>Notificacion.fiscal@argal.com</v>
          </cell>
          <cell r="G55" t="str">
            <v>Cadena alimentaria</v>
          </cell>
          <cell r="H55" t="str">
            <v>Cadena alimentaria</v>
          </cell>
          <cell r="I55" t="str">
            <v>Biotecnología</v>
          </cell>
          <cell r="J55" t="str">
            <v>Biotecnología</v>
          </cell>
          <cell r="K55" t="str">
            <v>Vertebrar la cadena de valor alimentaria</v>
          </cell>
          <cell r="L55" t="str">
            <v>Vertebrar la cadena de valor alimentaria</v>
          </cell>
          <cell r="M55" t="str">
            <v>Empresa</v>
          </cell>
          <cell r="N55" t="str">
            <v>Empresa</v>
          </cell>
          <cell r="O55" t="str">
            <v>Grande</v>
          </cell>
          <cell r="P55" t="str">
            <v>Grande</v>
          </cell>
          <cell r="Q55" t="str">
            <v>Individual</v>
          </cell>
          <cell r="R55" t="str">
            <v>Individual</v>
          </cell>
          <cell r="S55" t="str">
            <v>SI</v>
          </cell>
          <cell r="T55" t="str">
            <v>SI</v>
          </cell>
          <cell r="V55" t="str">
            <v>SI</v>
          </cell>
          <cell r="W55" t="str">
            <v>SI</v>
          </cell>
          <cell r="X55" t="str">
            <v>(pte presentación)</v>
          </cell>
          <cell r="Y55" t="str">
            <v>CDTI</v>
          </cell>
          <cell r="Z55" t="str">
            <v>No, no tenemos intención de patentar</v>
          </cell>
          <cell r="AA55" t="str">
            <v>No, no tenemos intención de patentar</v>
          </cell>
          <cell r="AB55" t="str">
            <v>No, no tenemos prevista publicación</v>
          </cell>
          <cell r="AC55" t="str">
            <v>No, no tenemos prevista publicación</v>
          </cell>
          <cell r="AD55" t="str">
            <v>False</v>
          </cell>
        </row>
        <row r="56">
          <cell r="A56" t="str">
            <v>0011-1365-2020-000055</v>
          </cell>
          <cell r="B56" t="str">
            <v>BEEF+ Carne saludable a través de la economía circular</v>
          </cell>
          <cell r="C56">
            <v>39675</v>
          </cell>
          <cell r="D56">
            <v>43922</v>
          </cell>
          <cell r="E56">
            <v>44651</v>
          </cell>
          <cell r="F56" t="str">
            <v>vicerrectorado.investigacion@unavarra.es</v>
          </cell>
          <cell r="G56" t="str">
            <v>Cadena alimentaria</v>
          </cell>
          <cell r="H56" t="str">
            <v>Cadena alimentaria</v>
          </cell>
          <cell r="I56" t="str">
            <v>Biotecnología</v>
          </cell>
          <cell r="J56" t="str">
            <v>Biotecnología</v>
          </cell>
          <cell r="K56" t="str">
            <v>Vertebrar la cadena de valor alimentaria</v>
          </cell>
          <cell r="L56" t="str">
            <v>Vertebrar la cadena de valor alimentaria</v>
          </cell>
          <cell r="M56" t="str">
            <v>Organismo de investigación</v>
          </cell>
          <cell r="N56" t="str">
            <v>Organismo de investigación</v>
          </cell>
          <cell r="O56" t="str">
            <v>Organismo de investigación</v>
          </cell>
          <cell r="P56" t="str">
            <v>Organismo de investigación</v>
          </cell>
          <cell r="Q56" t="str">
            <v>Transferencia del conocimiento</v>
          </cell>
          <cell r="R56" t="str">
            <v>Transferencia del conocimiento</v>
          </cell>
          <cell r="S56" t="str">
            <v>NO</v>
          </cell>
          <cell r="T56" t="str">
            <v>NO</v>
          </cell>
          <cell r="U56" t="str">
            <v>Universidad Publica</v>
          </cell>
          <cell r="V56" t="str">
            <v>NO</v>
          </cell>
          <cell r="W56" t="str">
            <v>NO</v>
          </cell>
          <cell r="Z56" t="str">
            <v>No, no tenemos intención de patentar</v>
          </cell>
          <cell r="AA56" t="str">
            <v>No, no tenemos intención de patentar</v>
          </cell>
          <cell r="AB56" t="str">
            <v>Sí, la publicación prevista es en revista científica q1</v>
          </cell>
          <cell r="AC56" t="str">
            <v>Sí, la publicación prevista es en revista científica q1</v>
          </cell>
          <cell r="AD56" t="str">
            <v>False</v>
          </cell>
        </row>
        <row r="57">
          <cell r="A57" t="str">
            <v>0011-1365-2020-000056</v>
          </cell>
          <cell r="B57" t="str">
            <v>ESTRATEGIAS PARA UNA PRODUCCIÓN DE TRIGO Y HARINA DE TRIGO SOSTENIBLE Y SALUDABLE</v>
          </cell>
          <cell r="C57">
            <v>90652</v>
          </cell>
          <cell r="D57">
            <v>43922</v>
          </cell>
          <cell r="E57">
            <v>44651</v>
          </cell>
          <cell r="F57" t="str">
            <v>financiero@harivasa.com</v>
          </cell>
          <cell r="G57" t="str">
            <v>Cadena alimentaria</v>
          </cell>
          <cell r="H57" t="str">
            <v>Cadena alimentaria</v>
          </cell>
          <cell r="I57" t="str">
            <v>Biotecnología</v>
          </cell>
          <cell r="J57" t="str">
            <v>Biotecnología</v>
          </cell>
          <cell r="K57" t="str">
            <v>Apuesta por la alimentación saludable</v>
          </cell>
          <cell r="L57" t="str">
            <v>Apuesta por la alimentación saludable</v>
          </cell>
          <cell r="M57" t="str">
            <v>Empresa</v>
          </cell>
          <cell r="N57" t="str">
            <v>Empresa</v>
          </cell>
          <cell r="O57" t="str">
            <v>Grande</v>
          </cell>
          <cell r="P57" t="str">
            <v>Grande</v>
          </cell>
          <cell r="Q57" t="str">
            <v>Individual</v>
          </cell>
          <cell r="R57" t="str">
            <v>Individual</v>
          </cell>
          <cell r="S57" t="str">
            <v>SI</v>
          </cell>
          <cell r="T57" t="str">
            <v>SI</v>
          </cell>
          <cell r="V57" t="str">
            <v>NO</v>
          </cell>
          <cell r="W57" t="str">
            <v>NO</v>
          </cell>
          <cell r="Z57" t="str">
            <v>No, no tenemos intención de patentar</v>
          </cell>
          <cell r="AA57" t="str">
            <v>No, no tenemos intención de patentar</v>
          </cell>
          <cell r="AB57" t="str">
            <v>No, no tenemos prevista publicación</v>
          </cell>
          <cell r="AC57" t="str">
            <v>No, no tenemos prevista publicación</v>
          </cell>
          <cell r="AD57" t="str">
            <v>False</v>
          </cell>
        </row>
        <row r="58">
          <cell r="A58" t="str">
            <v>0011-1365-2020-000057</v>
          </cell>
          <cell r="B58" t="str">
            <v>Nuevas estrategias para obtener plantas injertadas de vid de calidad superior (BEST-FEET)</v>
          </cell>
          <cell r="C58">
            <v>94484</v>
          </cell>
          <cell r="D58">
            <v>43922</v>
          </cell>
          <cell r="E58">
            <v>44651</v>
          </cell>
          <cell r="F58" t="str">
            <v>vicerrectorado.investigacion@unavarra.es</v>
          </cell>
          <cell r="G58" t="str">
            <v>Cadena alimentaria</v>
          </cell>
          <cell r="H58" t="str">
            <v>Cadena alimentaria</v>
          </cell>
          <cell r="I58" t="str">
            <v>Biotecnología</v>
          </cell>
          <cell r="J58" t="str">
            <v>Biotecnología</v>
          </cell>
          <cell r="K58" t="str">
            <v>Vertebrar la cadena de valor alimentaria</v>
          </cell>
          <cell r="L58" t="str">
            <v>Vertebrar la cadena de valor alimentaria</v>
          </cell>
          <cell r="M58" t="str">
            <v>Organismo de investigación</v>
          </cell>
          <cell r="N58" t="str">
            <v>Organismo de investigación</v>
          </cell>
          <cell r="O58" t="str">
            <v>Organismo de investigación</v>
          </cell>
          <cell r="P58" t="str">
            <v>Organismo de investigación</v>
          </cell>
          <cell r="Q58" t="str">
            <v>Transferencia del conocimiento</v>
          </cell>
          <cell r="R58" t="str">
            <v>Transferencia del conocimiento</v>
          </cell>
          <cell r="S58" t="str">
            <v>NO</v>
          </cell>
          <cell r="T58" t="str">
            <v>NO</v>
          </cell>
          <cell r="U58" t="str">
            <v>Universidad Publica</v>
          </cell>
          <cell r="V58" t="str">
            <v>NO</v>
          </cell>
          <cell r="W58" t="str">
            <v>NO</v>
          </cell>
          <cell r="Z58" t="str">
            <v>No, no tenemos intención de patentar</v>
          </cell>
          <cell r="AA58" t="str">
            <v>No, no tenemos intención de patentar</v>
          </cell>
          <cell r="AB58" t="str">
            <v>Sí, la publicación prevista es en revista científica q1</v>
          </cell>
          <cell r="AC58" t="str">
            <v>Sí, la publicación prevista es en revista científica q1</v>
          </cell>
          <cell r="AD58" t="str">
            <v>False</v>
          </cell>
        </row>
        <row r="59">
          <cell r="A59" t="str">
            <v>0011-1365-2020-000058</v>
          </cell>
          <cell r="B59" t="str">
            <v>Desarrollo de nuevos bioinsecticidas basados en Bacillus thuringiensis (Bt) para el control del mosquito tigre (Aedes albopictus) y optimización de la producción de toxinas</v>
          </cell>
          <cell r="C59">
            <v>80007</v>
          </cell>
          <cell r="D59">
            <v>44075</v>
          </cell>
          <cell r="E59">
            <v>44651</v>
          </cell>
          <cell r="F59" t="str">
            <v>vicerrectorado.investigacion@unavarra.es</v>
          </cell>
          <cell r="G59" t="str">
            <v>Salud</v>
          </cell>
          <cell r="H59" t="str">
            <v>Salud</v>
          </cell>
          <cell r="I59" t="str">
            <v>Biotecnología</v>
          </cell>
          <cell r="J59" t="str">
            <v>Biotecnología</v>
          </cell>
          <cell r="K59" t="str">
            <v>Otros</v>
          </cell>
          <cell r="L59" t="str">
            <v>Otros</v>
          </cell>
          <cell r="M59" t="str">
            <v>Organismo de investigación</v>
          </cell>
          <cell r="N59" t="str">
            <v>Organismo de investigación</v>
          </cell>
          <cell r="O59" t="str">
            <v>Organismo de investigación</v>
          </cell>
          <cell r="P59" t="str">
            <v>Organismo de investigación</v>
          </cell>
          <cell r="Q59" t="str">
            <v>Transferencia del conocimiento</v>
          </cell>
          <cell r="R59" t="str">
            <v>Transferencia del conocimiento</v>
          </cell>
          <cell r="S59" t="str">
            <v>NO</v>
          </cell>
          <cell r="T59" t="str">
            <v>NO</v>
          </cell>
          <cell r="U59" t="str">
            <v>Universidad Publica</v>
          </cell>
          <cell r="V59" t="str">
            <v>NO</v>
          </cell>
          <cell r="W59" t="str">
            <v>NO</v>
          </cell>
          <cell r="Z59" t="str">
            <v>No, no tenemos intención de patentar</v>
          </cell>
          <cell r="AA59" t="str">
            <v>No, no tenemos intención de patentar</v>
          </cell>
          <cell r="AB59" t="str">
            <v>Sí, la publicación prevista es en revista científica q1</v>
          </cell>
          <cell r="AC59" t="str">
            <v>Sí, la publicación prevista es en revista científica q1</v>
          </cell>
          <cell r="AD59" t="str">
            <v>False</v>
          </cell>
        </row>
        <row r="60">
          <cell r="A60" t="str">
            <v>0011-1365-2020-000059</v>
          </cell>
          <cell r="B60" t="str">
            <v>Espacios libres de insectos basados en componentes de hormigón 2.0 (Blockade)</v>
          </cell>
          <cell r="C60">
            <v>77951</v>
          </cell>
          <cell r="D60">
            <v>43922</v>
          </cell>
          <cell r="E60">
            <v>44651</v>
          </cell>
          <cell r="F60" t="str">
            <v>vicerrectorado.investigacion@unavarra.es</v>
          </cell>
          <cell r="G60" t="str">
            <v>Salud</v>
          </cell>
          <cell r="H60" t="str">
            <v>Salud</v>
          </cell>
          <cell r="I60" t="str">
            <v>Manufactura avanzada</v>
          </cell>
          <cell r="J60" t="str">
            <v>Manufactura avanzada</v>
          </cell>
          <cell r="K60" t="str">
            <v>Otros</v>
          </cell>
          <cell r="L60" t="str">
            <v>Otros</v>
          </cell>
          <cell r="M60" t="str">
            <v>Organismo de investigación</v>
          </cell>
          <cell r="N60" t="str">
            <v>Organismo de investigación</v>
          </cell>
          <cell r="O60" t="str">
            <v>Organismo de investigación</v>
          </cell>
          <cell r="P60" t="str">
            <v>Organismo de investigación</v>
          </cell>
          <cell r="Q60" t="str">
            <v>Transferencia del conocimiento</v>
          </cell>
          <cell r="R60" t="str">
            <v>Transferencia del conocimiento</v>
          </cell>
          <cell r="S60" t="str">
            <v>NO</v>
          </cell>
          <cell r="T60" t="str">
            <v>NO</v>
          </cell>
          <cell r="U60" t="str">
            <v>Universidad Publica</v>
          </cell>
          <cell r="V60" t="str">
            <v>NO</v>
          </cell>
          <cell r="W60" t="str">
            <v>NO</v>
          </cell>
          <cell r="Z60" t="str">
            <v>Sí, la patente prevista es europea</v>
          </cell>
          <cell r="AA60" t="str">
            <v>Sí, la patente prevista es europea</v>
          </cell>
          <cell r="AB60" t="str">
            <v>Sí, la publicación prevista es en revista científica q1</v>
          </cell>
          <cell r="AC60" t="str">
            <v>Sí, la publicación prevista es en revista científica q1</v>
          </cell>
          <cell r="AD60" t="str">
            <v>False</v>
          </cell>
        </row>
        <row r="61">
          <cell r="A61" t="str">
            <v>0011-1365-2020-000060</v>
          </cell>
          <cell r="B61" t="str">
            <v>NUEVAS TORTILLAS JUGOSAS</v>
          </cell>
          <cell r="C61">
            <v>346640.78</v>
          </cell>
          <cell r="D61">
            <v>43922</v>
          </cell>
          <cell r="E61">
            <v>44651</v>
          </cell>
          <cell r="F61" t="str">
            <v>maria.medrano@palacios.es</v>
          </cell>
          <cell r="G61" t="str">
            <v>Cadena alimentaria</v>
          </cell>
          <cell r="H61" t="str">
            <v>Cadena alimentaria</v>
          </cell>
          <cell r="I61" t="str">
            <v>Biotecnología</v>
          </cell>
          <cell r="J61" t="str">
            <v>Biotecnología</v>
          </cell>
          <cell r="K61" t="str">
            <v>Apuesta por la alimentación saludable</v>
          </cell>
          <cell r="L61" t="str">
            <v>Apuesta por la alimentación saludable</v>
          </cell>
          <cell r="M61" t="str">
            <v>Empresa</v>
          </cell>
          <cell r="N61" t="str">
            <v>Empresa</v>
          </cell>
          <cell r="O61" t="str">
            <v>Grande</v>
          </cell>
          <cell r="P61" t="str">
            <v>Grande</v>
          </cell>
          <cell r="Q61" t="str">
            <v>Individual</v>
          </cell>
          <cell r="R61" t="str">
            <v>Individual</v>
          </cell>
          <cell r="T61" t="str">
            <v>Seleccionar...</v>
          </cell>
          <cell r="V61" t="str">
            <v>NO</v>
          </cell>
          <cell r="W61" t="str">
            <v>NO</v>
          </cell>
          <cell r="Z61" t="str">
            <v>No, no tenemos intención de patentar</v>
          </cell>
          <cell r="AA61" t="str">
            <v>No, no tenemos intención de patentar</v>
          </cell>
          <cell r="AB61" t="str">
            <v>No, no tenemos prevista publicación</v>
          </cell>
          <cell r="AC61" t="str">
            <v>No, no tenemos prevista publicación</v>
          </cell>
          <cell r="AD61" t="str">
            <v>False</v>
          </cell>
        </row>
        <row r="62">
          <cell r="A62" t="str">
            <v>0011-1365-2020-000061</v>
          </cell>
          <cell r="B62" t="str">
            <v>BREATHALYSER</v>
          </cell>
          <cell r="C62">
            <v>105762</v>
          </cell>
          <cell r="D62">
            <v>43922</v>
          </cell>
          <cell r="E62">
            <v>44651</v>
          </cell>
          <cell r="F62" t="str">
            <v>vicerrectorado.investigacion@unavarra.es</v>
          </cell>
          <cell r="G62" t="str">
            <v>Salud</v>
          </cell>
          <cell r="H62" t="str">
            <v>Salud</v>
          </cell>
          <cell r="I62" t="str">
            <v>Otros</v>
          </cell>
          <cell r="J62" t="str">
            <v>Otros</v>
          </cell>
          <cell r="K62" t="str">
            <v>Desarrollo de la medicina personalizada</v>
          </cell>
          <cell r="L62" t="str">
            <v>Desarrollo de la medicina personalizada</v>
          </cell>
          <cell r="M62" t="str">
            <v>Organismo de investigación</v>
          </cell>
          <cell r="N62" t="str">
            <v>Organismo de investigación</v>
          </cell>
          <cell r="O62" t="str">
            <v>Organismo de investigación</v>
          </cell>
          <cell r="P62" t="str">
            <v>Organismo de investigación</v>
          </cell>
          <cell r="Q62" t="str">
            <v>Transferencia del conocimiento</v>
          </cell>
          <cell r="R62" t="str">
            <v>Transferencia del conocimiento</v>
          </cell>
          <cell r="S62" t="str">
            <v>NO</v>
          </cell>
          <cell r="T62" t="str">
            <v>NO</v>
          </cell>
          <cell r="U62" t="str">
            <v>Universidad Publica</v>
          </cell>
          <cell r="V62" t="str">
            <v>NO</v>
          </cell>
          <cell r="W62" t="str">
            <v>NO</v>
          </cell>
          <cell r="Z62" t="str">
            <v>No, no tenemos intención de patentar</v>
          </cell>
          <cell r="AA62" t="str">
            <v>No, no tenemos intención de patentar</v>
          </cell>
          <cell r="AB62" t="str">
            <v>Sí, la publicación prevista es en revista científica q1</v>
          </cell>
          <cell r="AC62" t="str">
            <v>Sí, la publicación prevista es en revista científica q1</v>
          </cell>
          <cell r="AD62" t="str">
            <v>False</v>
          </cell>
        </row>
        <row r="63">
          <cell r="A63" t="str">
            <v>0011-1365-2020-000062</v>
          </cell>
          <cell r="B63" t="str">
            <v>DESARROLLO DE UNA CÉLULA ROBOTIZADA PALETIZADORA DE LIBROS TERMINADOS A LA SALIDA DE LAS LINEAS DE ENCUADERNACIÓN</v>
          </cell>
          <cell r="C63">
            <v>250264</v>
          </cell>
          <cell r="D63">
            <v>43922</v>
          </cell>
          <cell r="E63">
            <v>44469</v>
          </cell>
          <cell r="F63" t="str">
            <v>largoiko@largoiko.es</v>
          </cell>
          <cell r="G63" t="str">
            <v>Automoción y mecatrónica</v>
          </cell>
          <cell r="H63" t="str">
            <v>Automoción y mecatrónica</v>
          </cell>
          <cell r="I63" t="str">
            <v>Manufactura avanzada</v>
          </cell>
          <cell r="J63" t="str">
            <v>Manufactura avanzada</v>
          </cell>
          <cell r="K63" t="str">
            <v>Transformación 4.0 de la industria navarra</v>
          </cell>
          <cell r="L63" t="str">
            <v>Transformación 4.0 de la industria navarra</v>
          </cell>
          <cell r="M63" t="str">
            <v>Empresa</v>
          </cell>
          <cell r="N63" t="str">
            <v>Empresa</v>
          </cell>
          <cell r="O63" t="str">
            <v>Pequeña</v>
          </cell>
          <cell r="P63" t="str">
            <v>Pequeña</v>
          </cell>
          <cell r="Q63" t="str">
            <v>Individual</v>
          </cell>
          <cell r="R63" t="str">
            <v>Individual</v>
          </cell>
          <cell r="S63" t="str">
            <v>SI</v>
          </cell>
          <cell r="T63" t="str">
            <v>SI</v>
          </cell>
          <cell r="V63" t="str">
            <v>NO</v>
          </cell>
          <cell r="W63" t="str">
            <v>NO</v>
          </cell>
          <cell r="Z63" t="str">
            <v>Sí, la patente prevista es europea</v>
          </cell>
          <cell r="AA63" t="str">
            <v>Sí, la patente prevista es europea</v>
          </cell>
          <cell r="AB63" t="str">
            <v>No, no tenemos prevista publicación</v>
          </cell>
          <cell r="AC63" t="str">
            <v>No, no tenemos prevista publicación</v>
          </cell>
          <cell r="AD63" t="str">
            <v>False</v>
          </cell>
        </row>
        <row r="64">
          <cell r="A64" t="str">
            <v>0011-1365-2020-000063</v>
          </cell>
          <cell r="B64" t="str">
            <v>DESARROLLO DE UN INNOVADOR PROCESO DE REVALORIZACION DE BARRICAS FUERA DE USO PARA SU REUTILIZACION EN DESTILADOS</v>
          </cell>
          <cell r="C64">
            <v>354689</v>
          </cell>
          <cell r="D64">
            <v>43922</v>
          </cell>
          <cell r="E64">
            <v>44651</v>
          </cell>
          <cell r="F64" t="str">
            <v>administracion@ingename.es</v>
          </cell>
          <cell r="G64" t="str">
            <v>Cadena alimentaria</v>
          </cell>
          <cell r="H64" t="str">
            <v>Cadena alimentaria</v>
          </cell>
          <cell r="I64" t="str">
            <v>Manufactura avanzada</v>
          </cell>
          <cell r="J64" t="str">
            <v>Manufactura avanzada</v>
          </cell>
          <cell r="K64" t="str">
            <v>Transformación 4.0 de la industria navarra</v>
          </cell>
          <cell r="L64" t="str">
            <v>Transformación 4.0 de la industria navarra</v>
          </cell>
          <cell r="M64" t="str">
            <v>Empresa</v>
          </cell>
          <cell r="N64" t="str">
            <v>Empresa</v>
          </cell>
          <cell r="O64" t="str">
            <v>Pequeña</v>
          </cell>
          <cell r="P64" t="str">
            <v>Pequeña</v>
          </cell>
          <cell r="Q64" t="str">
            <v>Cooperativo</v>
          </cell>
          <cell r="R64" t="str">
            <v>Cooperativo</v>
          </cell>
          <cell r="S64" t="str">
            <v>SI</v>
          </cell>
          <cell r="T64" t="str">
            <v>SI</v>
          </cell>
          <cell r="V64" t="str">
            <v>NO</v>
          </cell>
          <cell r="W64" t="str">
            <v>NO</v>
          </cell>
          <cell r="Z64" t="str">
            <v>No, no tenemos intención de patentar</v>
          </cell>
          <cell r="AA64" t="str">
            <v>No, no tenemos intención de patentar</v>
          </cell>
          <cell r="AB64" t="str">
            <v>No, no tenemos prevista publicación</v>
          </cell>
          <cell r="AC64" t="str">
            <v>No, no tenemos prevista publicación</v>
          </cell>
          <cell r="AD64" t="str">
            <v>True</v>
          </cell>
        </row>
        <row r="65">
          <cell r="A65" t="str">
            <v>0011-1365-2020-000064</v>
          </cell>
          <cell r="B65" t="str">
            <v>PASTCOL: Desarrollo de una nueva solución para la prevención y tratamiento de complicaciones bucales por el uso de prótesis dentales</v>
          </cell>
          <cell r="C65">
            <v>420985</v>
          </cell>
          <cell r="D65">
            <v>43922</v>
          </cell>
          <cell r="E65">
            <v>44286</v>
          </cell>
          <cell r="F65" t="str">
            <v>contact@naiaxpharma.com</v>
          </cell>
          <cell r="G65" t="str">
            <v>Salud</v>
          </cell>
          <cell r="H65" t="str">
            <v>Salud</v>
          </cell>
          <cell r="I65" t="str">
            <v>Biotecnología</v>
          </cell>
          <cell r="J65" t="str">
            <v>Biotecnología</v>
          </cell>
          <cell r="K65" t="str">
            <v>Desarrollo de la medicina personalizada</v>
          </cell>
          <cell r="L65" t="str">
            <v>Desarrollo de la medicina personalizada</v>
          </cell>
          <cell r="M65" t="str">
            <v>Empresa</v>
          </cell>
          <cell r="N65" t="str">
            <v>Empresa</v>
          </cell>
          <cell r="O65" t="str">
            <v>Pequeña</v>
          </cell>
          <cell r="P65" t="str">
            <v>Pequeña</v>
          </cell>
          <cell r="Q65" t="str">
            <v>Individual</v>
          </cell>
          <cell r="R65" t="str">
            <v>Individual</v>
          </cell>
          <cell r="S65" t="str">
            <v>NO</v>
          </cell>
          <cell r="T65" t="str">
            <v>NO</v>
          </cell>
          <cell r="U65" t="str">
            <v>No aplica</v>
          </cell>
          <cell r="V65" t="str">
            <v>NO</v>
          </cell>
          <cell r="W65" t="str">
            <v>NO</v>
          </cell>
          <cell r="Z65" t="str">
            <v>No, no tenemos intención de patentar</v>
          </cell>
          <cell r="AA65" t="str">
            <v>No, no tenemos intención de patentar</v>
          </cell>
          <cell r="AB65" t="str">
            <v>No, no tenemos prevista publicación</v>
          </cell>
          <cell r="AC65" t="str">
            <v>No, no tenemos prevista publicación</v>
          </cell>
          <cell r="AD65" t="str">
            <v>False</v>
          </cell>
        </row>
        <row r="66">
          <cell r="A66" t="str">
            <v>0011-1365-2020-000065</v>
          </cell>
          <cell r="B66" t="str">
            <v>Secador corporal UIII (ultrarrápido, inteligente, integrado en fase de obra e invisible)</v>
          </cell>
          <cell r="C66">
            <v>677028.95</v>
          </cell>
          <cell r="D66">
            <v>43922</v>
          </cell>
          <cell r="E66">
            <v>44651</v>
          </cell>
          <cell r="F66" t="str">
            <v>ion@lifeak.com</v>
          </cell>
          <cell r="G66" t="str">
            <v>Automoción y mecatrónica</v>
          </cell>
          <cell r="H66" t="str">
            <v>Automoción y mecatrónica</v>
          </cell>
          <cell r="I66" t="str">
            <v>Tic</v>
          </cell>
          <cell r="J66" t="str">
            <v>Tic</v>
          </cell>
          <cell r="K66" t="str">
            <v>Transformación 4.0 de la industria navarra</v>
          </cell>
          <cell r="L66" t="str">
            <v>Transformación 4.0 de la industria navarra</v>
          </cell>
          <cell r="M66" t="str">
            <v>Empresa</v>
          </cell>
          <cell r="N66" t="str">
            <v>Empresa</v>
          </cell>
          <cell r="O66" t="str">
            <v>Pequeña</v>
          </cell>
          <cell r="P66" t="str">
            <v>Pequeña</v>
          </cell>
          <cell r="Q66" t="str">
            <v>Individual</v>
          </cell>
          <cell r="R66" t="str">
            <v>Individual</v>
          </cell>
          <cell r="S66" t="str">
            <v>SI</v>
          </cell>
          <cell r="T66" t="str">
            <v>SI</v>
          </cell>
          <cell r="V66" t="str">
            <v>SI</v>
          </cell>
          <cell r="W66" t="str">
            <v>SI</v>
          </cell>
          <cell r="X66" t="str">
            <v>SIN SOLICITAR</v>
          </cell>
          <cell r="Y66" t="str">
            <v>CDTI</v>
          </cell>
          <cell r="Z66" t="str">
            <v>Sí, la patente prevista es europea</v>
          </cell>
          <cell r="AA66" t="str">
            <v>Sí, la patente prevista es europea</v>
          </cell>
          <cell r="AB66" t="str">
            <v>No, no tenemos prevista publicación</v>
          </cell>
          <cell r="AC66" t="str">
            <v>No, no tenemos prevista publicación</v>
          </cell>
          <cell r="AD66" t="str">
            <v>False</v>
          </cell>
        </row>
        <row r="67">
          <cell r="A67" t="str">
            <v>0011-1365-2020-000066</v>
          </cell>
          <cell r="B67" t="str">
            <v xml:space="preserve">FORM3D – Investigación en tecnologías de impresión 3D para la fabricación de moldes de termoformado </v>
          </cell>
          <cell r="C67">
            <v>112161.7</v>
          </cell>
          <cell r="D67">
            <v>43922</v>
          </cell>
          <cell r="E67">
            <v>44651</v>
          </cell>
          <cell r="F67" t="str">
            <v>admon@joycar.info</v>
          </cell>
          <cell r="G67" t="str">
            <v>Cadena alimentaria</v>
          </cell>
          <cell r="H67" t="str">
            <v>Cadena alimentaria</v>
          </cell>
          <cell r="I67" t="str">
            <v>Manufactura avanzada</v>
          </cell>
          <cell r="J67" t="str">
            <v>Manufactura avanzada</v>
          </cell>
          <cell r="K67" t="str">
            <v>Transformación 4.0 de la industria navarra</v>
          </cell>
          <cell r="L67" t="str">
            <v>Transformación 4.0 de la industria navarra</v>
          </cell>
          <cell r="M67" t="str">
            <v>Empresa</v>
          </cell>
          <cell r="N67" t="str">
            <v>Empresa</v>
          </cell>
          <cell r="O67" t="str">
            <v>Mediana</v>
          </cell>
          <cell r="P67" t="str">
            <v>Mediana</v>
          </cell>
          <cell r="Q67" t="str">
            <v>Transferencia del conocimiento</v>
          </cell>
          <cell r="R67" t="str">
            <v>Transferencia del conocimiento</v>
          </cell>
          <cell r="S67" t="str">
            <v>SI</v>
          </cell>
          <cell r="T67" t="str">
            <v>SI</v>
          </cell>
          <cell r="V67" t="str">
            <v>SI</v>
          </cell>
          <cell r="W67" t="str">
            <v>SI</v>
          </cell>
          <cell r="X67">
            <v>43284</v>
          </cell>
          <cell r="Y67" t="str">
            <v>GOBIERNO DE NAVARRA. Doctorados Industriales</v>
          </cell>
          <cell r="Z67" t="str">
            <v>Sí, la patente prevista es europea</v>
          </cell>
          <cell r="AA67" t="str">
            <v>Sí, la patente prevista es europea</v>
          </cell>
          <cell r="AB67" t="str">
            <v>No, no tenemos prevista publicación</v>
          </cell>
          <cell r="AC67" t="str">
            <v>No, no tenemos prevista publicación</v>
          </cell>
          <cell r="AD67" t="str">
            <v>False</v>
          </cell>
        </row>
        <row r="68">
          <cell r="A68" t="str">
            <v>0011-1365-2020-000067</v>
          </cell>
          <cell r="B68" t="str">
            <v>EMBUTIDOS CURVADOS VEGANOS</v>
          </cell>
          <cell r="C68">
            <v>145904.85</v>
          </cell>
          <cell r="D68">
            <v>43922</v>
          </cell>
          <cell r="E68">
            <v>44651</v>
          </cell>
          <cell r="F68" t="str">
            <v>robertolopez@goikoa.com</v>
          </cell>
          <cell r="G68" t="str">
            <v>Cadena alimentaria</v>
          </cell>
          <cell r="H68" t="str">
            <v>Cadena alimentaria</v>
          </cell>
          <cell r="I68" t="str">
            <v>Biotecnología</v>
          </cell>
          <cell r="J68" t="str">
            <v>Biotecnología</v>
          </cell>
          <cell r="K68" t="str">
            <v>Apuesta por la alimentación saludable</v>
          </cell>
          <cell r="L68" t="str">
            <v>Apuesta por la alimentación saludable</v>
          </cell>
          <cell r="M68" t="str">
            <v>Empresa</v>
          </cell>
          <cell r="N68" t="str">
            <v>Empresa</v>
          </cell>
          <cell r="O68" t="str">
            <v>Mediana</v>
          </cell>
          <cell r="P68" t="str">
            <v>Mediana</v>
          </cell>
          <cell r="Q68" t="str">
            <v>Individual</v>
          </cell>
          <cell r="R68" t="str">
            <v>Individual</v>
          </cell>
          <cell r="S68" t="str">
            <v>SI</v>
          </cell>
          <cell r="T68" t="str">
            <v>SI</v>
          </cell>
          <cell r="V68" t="str">
            <v>SI</v>
          </cell>
          <cell r="W68" t="str">
            <v>SI</v>
          </cell>
          <cell r="Y68" t="str">
            <v>cdti, pendiente resolucion</v>
          </cell>
          <cell r="Z68" t="str">
            <v>No, no tenemos intención de patentar</v>
          </cell>
          <cell r="AA68" t="str">
            <v>No, no tenemos intención de patentar</v>
          </cell>
          <cell r="AB68" t="str">
            <v>No, no tenemos prevista publicación</v>
          </cell>
          <cell r="AC68" t="str">
            <v>No, no tenemos prevista publicación</v>
          </cell>
          <cell r="AD68" t="str">
            <v>False</v>
          </cell>
        </row>
        <row r="69">
          <cell r="A69" t="str">
            <v>0011-1365-2020-000068</v>
          </cell>
          <cell r="B69" t="str">
            <v>Diseño y desarrollo de sistemas de notificación visual flexibles con propiedades ópticas avanzadas para las HMI (7 LIGHTS)</v>
          </cell>
          <cell r="C69">
            <v>133034.94</v>
          </cell>
          <cell r="D69">
            <v>43922</v>
          </cell>
          <cell r="E69">
            <v>44651</v>
          </cell>
          <cell r="F69" t="str">
            <v>vicerrectorado.investigacion@unavarra.es</v>
          </cell>
          <cell r="G69" t="str">
            <v>Automoción y mecatrónica</v>
          </cell>
          <cell r="H69" t="str">
            <v>Automoción y mecatrónica</v>
          </cell>
          <cell r="I69" t="str">
            <v>Tic</v>
          </cell>
          <cell r="J69" t="str">
            <v>Tic</v>
          </cell>
          <cell r="K69" t="str">
            <v>Transformación 4.0 de la industria navarra</v>
          </cell>
          <cell r="L69" t="str">
            <v>Transformación 4.0 de la industria navarra</v>
          </cell>
          <cell r="M69" t="str">
            <v>Organismo de investigación</v>
          </cell>
          <cell r="N69" t="str">
            <v>Organismo de investigación</v>
          </cell>
          <cell r="O69" t="str">
            <v>Organismo de investigación</v>
          </cell>
          <cell r="P69" t="str">
            <v>Organismo de investigación</v>
          </cell>
          <cell r="Q69" t="str">
            <v>Transferencia del conocimiento</v>
          </cell>
          <cell r="R69" t="str">
            <v>Transferencia del conocimiento</v>
          </cell>
          <cell r="S69" t="str">
            <v>NO</v>
          </cell>
          <cell r="T69" t="str">
            <v>NO</v>
          </cell>
          <cell r="U69" t="str">
            <v>Universidad Publica</v>
          </cell>
          <cell r="V69" t="str">
            <v>NO</v>
          </cell>
          <cell r="W69" t="str">
            <v>NO</v>
          </cell>
          <cell r="Z69" t="str">
            <v>No, no tenemos intención de patentar</v>
          </cell>
          <cell r="AA69" t="str">
            <v>No, no tenemos intención de patentar</v>
          </cell>
          <cell r="AB69" t="str">
            <v>No, no tenemos prevista publicación</v>
          </cell>
          <cell r="AC69" t="str">
            <v>No, no tenemos prevista publicación</v>
          </cell>
          <cell r="AD69" t="str">
            <v>False</v>
          </cell>
        </row>
        <row r="70">
          <cell r="A70" t="str">
            <v>0011-1365-2020-000069</v>
          </cell>
          <cell r="B70" t="str">
            <v>Investigación de nuevos métodos de predicción de demanda para el sector automoción</v>
          </cell>
          <cell r="C70">
            <v>183723</v>
          </cell>
          <cell r="D70">
            <v>43922</v>
          </cell>
          <cell r="E70">
            <v>44651</v>
          </cell>
          <cell r="F70" t="str">
            <v>elisa.gortari@kybeh.com</v>
          </cell>
          <cell r="G70" t="str">
            <v>Automoción y mecatrónica</v>
          </cell>
          <cell r="H70" t="str">
            <v>Automoción y mecatrónica</v>
          </cell>
          <cell r="I70" t="str">
            <v>Tic</v>
          </cell>
          <cell r="J70" t="str">
            <v>Tic</v>
          </cell>
          <cell r="K70" t="str">
            <v>Transformación 4.0 de la industria navarra</v>
          </cell>
          <cell r="L70" t="str">
            <v>Transformación 4.0 de la industria navarra</v>
          </cell>
          <cell r="M70" t="str">
            <v>Empresa</v>
          </cell>
          <cell r="N70" t="str">
            <v>Empresa</v>
          </cell>
          <cell r="O70" t="str">
            <v>Grande</v>
          </cell>
          <cell r="P70" t="str">
            <v>Grande</v>
          </cell>
          <cell r="Q70" t="str">
            <v>Transferencia del conocimiento</v>
          </cell>
          <cell r="R70" t="str">
            <v>Transferencia del conocimiento</v>
          </cell>
          <cell r="S70" t="str">
            <v>SI</v>
          </cell>
          <cell r="T70" t="str">
            <v>SI</v>
          </cell>
          <cell r="V70" t="str">
            <v>NO</v>
          </cell>
          <cell r="W70" t="str">
            <v>NO</v>
          </cell>
          <cell r="Z70" t="str">
            <v>No, no tenemos intención de patentar</v>
          </cell>
          <cell r="AA70" t="str">
            <v>No, no tenemos intención de patentar</v>
          </cell>
          <cell r="AB70" t="str">
            <v>Sí, la publicación prevista es en revista científica</v>
          </cell>
          <cell r="AC70" t="str">
            <v>Sí, la publicación prevista es en revista científica</v>
          </cell>
          <cell r="AD70" t="str">
            <v>True</v>
          </cell>
        </row>
        <row r="71">
          <cell r="A71" t="str">
            <v>0011-1365-2020-000070</v>
          </cell>
          <cell r="B71" t="str">
            <v xml:space="preserve"> PLATAFORMA INTEGRAL 5G DE SEGURIDAD LABORAL PARA TRABAJADORES DE PLANTAS DE ENERGÍAS RENOVABLES </v>
          </cell>
          <cell r="C71">
            <v>623718.38</v>
          </cell>
          <cell r="D71">
            <v>43922</v>
          </cell>
          <cell r="E71">
            <v>44651</v>
          </cell>
          <cell r="F71" t="str">
            <v>murbiola@sistelec.es</v>
          </cell>
          <cell r="G71" t="str">
            <v>Energías renovables y recursos</v>
          </cell>
          <cell r="H71" t="str">
            <v>Energías renovables y recursos</v>
          </cell>
          <cell r="I71" t="str">
            <v>Tic</v>
          </cell>
          <cell r="J71" t="str">
            <v>Tic</v>
          </cell>
          <cell r="K71" t="str">
            <v>Fortalecimiento del sector eólico</v>
          </cell>
          <cell r="L71" t="str">
            <v>Fortalecimiento del sector eólico</v>
          </cell>
          <cell r="M71" t="str">
            <v>Empresa</v>
          </cell>
          <cell r="N71" t="str">
            <v>Empresa</v>
          </cell>
          <cell r="O71" t="str">
            <v>Pequeña</v>
          </cell>
          <cell r="P71" t="str">
            <v>Pequeña</v>
          </cell>
          <cell r="Q71" t="str">
            <v>Individual</v>
          </cell>
          <cell r="R71" t="str">
            <v>Individual</v>
          </cell>
          <cell r="S71" t="str">
            <v>SI</v>
          </cell>
          <cell r="T71" t="str">
            <v>SI</v>
          </cell>
          <cell r="V71" t="str">
            <v>NO</v>
          </cell>
          <cell r="W71" t="str">
            <v>NO</v>
          </cell>
          <cell r="Z71" t="str">
            <v>No, no tenemos intención de patentar</v>
          </cell>
          <cell r="AA71" t="str">
            <v>No, no tenemos intención de patentar</v>
          </cell>
          <cell r="AB71" t="str">
            <v>No, no tenemos prevista publicación</v>
          </cell>
          <cell r="AC71" t="str">
            <v>No, no tenemos prevista publicación</v>
          </cell>
          <cell r="AD71" t="str">
            <v>False</v>
          </cell>
        </row>
        <row r="72">
          <cell r="A72" t="str">
            <v>0011-1365-2020-000071</v>
          </cell>
          <cell r="B72" t="str">
            <v>AUDIO SUPER-DIRECCIONAL PARA LA REDUCCIÓN DE LA CONTAMINACIÓN ACÚSTICA CAUSADA POR SEÑALES DE ALARMA</v>
          </cell>
          <cell r="C72">
            <v>68551</v>
          </cell>
          <cell r="D72">
            <v>44058</v>
          </cell>
          <cell r="E72">
            <v>44651</v>
          </cell>
          <cell r="F72" t="str">
            <v>vicerrectorado.investigacion@unavarra.es</v>
          </cell>
          <cell r="G72" t="str">
            <v>Salud</v>
          </cell>
          <cell r="H72" t="str">
            <v>Salud</v>
          </cell>
          <cell r="I72" t="str">
            <v>Manufactura avanzada</v>
          </cell>
          <cell r="J72" t="str">
            <v>Manufactura avanzada</v>
          </cell>
          <cell r="K72" t="str">
            <v>Transformación 4.0 de la industria navarra</v>
          </cell>
          <cell r="L72" t="str">
            <v>Transformación 4.0 de la industria navarra</v>
          </cell>
          <cell r="M72" t="str">
            <v>Organismo de investigación</v>
          </cell>
          <cell r="N72" t="str">
            <v>Organismo de investigación</v>
          </cell>
          <cell r="O72" t="str">
            <v>Organismo de investigación</v>
          </cell>
          <cell r="P72" t="str">
            <v>Organismo de investigación</v>
          </cell>
          <cell r="Q72" t="str">
            <v>Transferencia del conocimiento</v>
          </cell>
          <cell r="R72" t="str">
            <v>Transferencia del conocimiento</v>
          </cell>
          <cell r="S72" t="str">
            <v>NO</v>
          </cell>
          <cell r="T72" t="str">
            <v>NO</v>
          </cell>
          <cell r="U72" t="str">
            <v>Univerrsidad Publica</v>
          </cell>
          <cell r="V72" t="str">
            <v>NO</v>
          </cell>
          <cell r="W72" t="str">
            <v>NO</v>
          </cell>
          <cell r="Z72" t="str">
            <v>No, no tenemos intención de patentar</v>
          </cell>
          <cell r="AA72" t="str">
            <v>No, no tenemos intención de patentar</v>
          </cell>
          <cell r="AB72" t="str">
            <v>Sí, la publicación prevista es en revista científica q1</v>
          </cell>
          <cell r="AC72" t="str">
            <v>Sí, la publicación prevista es en revista científica q1</v>
          </cell>
          <cell r="AD72" t="str">
            <v>False</v>
          </cell>
        </row>
        <row r="73">
          <cell r="A73" t="str">
            <v>0011-1365-2020-000072</v>
          </cell>
          <cell r="B73" t="str">
            <v>DISEÑO Y DESARROLLO DE UN BANCO DE VERIFICACIÓN DE DIRECCIONES ELECTRÓNICAS CON CONTROL AVANZADO Y TRAZABILIDAD TOTAL</v>
          </cell>
          <cell r="C73">
            <v>381671.37</v>
          </cell>
          <cell r="D73">
            <v>43922</v>
          </cell>
          <cell r="E73">
            <v>44469</v>
          </cell>
          <cell r="F73" t="str">
            <v>cristina@lizarte.com</v>
          </cell>
          <cell r="G73" t="str">
            <v>Automoción y mecatrónica</v>
          </cell>
          <cell r="H73" t="str">
            <v>Automoción y mecatrónica</v>
          </cell>
          <cell r="I73" t="str">
            <v>Manufactura avanzada</v>
          </cell>
          <cell r="J73" t="str">
            <v>Manufactura avanzada</v>
          </cell>
          <cell r="K73" t="str">
            <v>Transformación 4.0 de la industria navarra</v>
          </cell>
          <cell r="L73" t="str">
            <v>Transformación 4.0 de la industria navarra</v>
          </cell>
          <cell r="M73" t="str">
            <v>Empresa</v>
          </cell>
          <cell r="N73" t="str">
            <v>Empresa</v>
          </cell>
          <cell r="O73" t="str">
            <v>Mediana</v>
          </cell>
          <cell r="P73" t="str">
            <v>Mediana</v>
          </cell>
          <cell r="Q73" t="str">
            <v>Individual</v>
          </cell>
          <cell r="R73" t="str">
            <v>Individual</v>
          </cell>
          <cell r="S73" t="str">
            <v>SI</v>
          </cell>
          <cell r="T73" t="str">
            <v>SI</v>
          </cell>
          <cell r="U73" t="str">
            <v>15-A-256-00009040</v>
          </cell>
          <cell r="V73" t="str">
            <v>SI</v>
          </cell>
          <cell r="W73" t="str">
            <v>SI</v>
          </cell>
          <cell r="Y73" t="str">
            <v>Ayudas a la contratación de personal investigador y tecnológico 2020 - Gobierno de Navarra</v>
          </cell>
          <cell r="Z73" t="str">
            <v>Sí, la patente prevista es europea</v>
          </cell>
          <cell r="AA73" t="str">
            <v>Sí, la patente prevista es europea</v>
          </cell>
          <cell r="AB73" t="str">
            <v>No, no tenemos prevista publicación</v>
          </cell>
          <cell r="AC73" t="str">
            <v>No, no tenemos prevista publicación</v>
          </cell>
          <cell r="AD73" t="str">
            <v>False</v>
          </cell>
        </row>
        <row r="74">
          <cell r="A74" t="str">
            <v>0011-1365-2020-000073</v>
          </cell>
          <cell r="B74" t="str">
            <v>Inluencia de la diversidad y la composición de la microbiota en el desarrollo de hígado graso pediátrico: identificación de biomarcadores y desarrollo de terapia personalizada: proyecto MicroKID</v>
          </cell>
          <cell r="C74">
            <v>70020</v>
          </cell>
          <cell r="D74">
            <v>44075</v>
          </cell>
          <cell r="E74">
            <v>44651</v>
          </cell>
          <cell r="F74" t="str">
            <v>administracion@making-genetics.eu</v>
          </cell>
          <cell r="G74" t="str">
            <v>Salud</v>
          </cell>
          <cell r="H74" t="str">
            <v>Salud</v>
          </cell>
          <cell r="I74" t="str">
            <v>Biotecnología</v>
          </cell>
          <cell r="J74" t="str">
            <v>Biotecnología</v>
          </cell>
          <cell r="K74" t="str">
            <v>Desarrollo de la medicina personalizada</v>
          </cell>
          <cell r="L74" t="str">
            <v>Desarrollo de la medicina personalizada</v>
          </cell>
          <cell r="M74" t="str">
            <v>Empresa</v>
          </cell>
          <cell r="N74" t="str">
            <v>Empresa</v>
          </cell>
          <cell r="O74" t="str">
            <v>Pequeña</v>
          </cell>
          <cell r="P74" t="str">
            <v>Pequeña</v>
          </cell>
          <cell r="Q74" t="str">
            <v>Transferencia del conocimiento</v>
          </cell>
          <cell r="R74" t="str">
            <v>Transferencia del conocimiento</v>
          </cell>
          <cell r="S74" t="str">
            <v>SI</v>
          </cell>
          <cell r="T74" t="str">
            <v>SI</v>
          </cell>
          <cell r="V74" t="str">
            <v>NO</v>
          </cell>
          <cell r="W74" t="str">
            <v>NO</v>
          </cell>
          <cell r="Z74" t="str">
            <v>No, no tenemos intención de patentar</v>
          </cell>
          <cell r="AA74" t="str">
            <v>No, no tenemos intención de patentar</v>
          </cell>
          <cell r="AB74" t="str">
            <v>Sí, la publicación prevista es en revista científica q1</v>
          </cell>
          <cell r="AC74" t="str">
            <v>Sí, la publicación prevista es en revista científica q1</v>
          </cell>
          <cell r="AD74" t="str">
            <v>False</v>
          </cell>
        </row>
        <row r="75">
          <cell r="A75" t="str">
            <v>0011-1365-2020-000074</v>
          </cell>
          <cell r="B75" t="str">
            <v>AUDIO SUPER-DIRECCIONAL PARA LA REDUCCIÓN DE LA CONTAMINACIÓN ACÚSTICA CAUSADA POR SEÑALES DE ALARMA</v>
          </cell>
          <cell r="C75">
            <v>141283</v>
          </cell>
          <cell r="D75">
            <v>44058</v>
          </cell>
          <cell r="E75">
            <v>44651</v>
          </cell>
          <cell r="F75" t="str">
            <v>d.perez@idacustica.com</v>
          </cell>
          <cell r="G75" t="str">
            <v>Salud</v>
          </cell>
          <cell r="H75" t="str">
            <v>Salud</v>
          </cell>
          <cell r="I75" t="str">
            <v>Manufactura avanzada</v>
          </cell>
          <cell r="J75" t="str">
            <v>Manufactura avanzada</v>
          </cell>
          <cell r="K75" t="str">
            <v>Transformación 4.0 de la industria navarra</v>
          </cell>
          <cell r="L75" t="str">
            <v>Transformación 4.0 de la industria navarra</v>
          </cell>
          <cell r="M75" t="str">
            <v>Empresa</v>
          </cell>
          <cell r="N75" t="str">
            <v>Empresa</v>
          </cell>
          <cell r="O75" t="str">
            <v>Pequeña</v>
          </cell>
          <cell r="P75" t="str">
            <v>Pequeña</v>
          </cell>
          <cell r="Q75" t="str">
            <v>Transferencia del conocimiento</v>
          </cell>
          <cell r="R75" t="str">
            <v>Transferencia del conocimiento</v>
          </cell>
          <cell r="S75" t="str">
            <v>SI</v>
          </cell>
          <cell r="T75" t="str">
            <v>SI</v>
          </cell>
          <cell r="U75" t="str">
            <v>15-B-B00-00061493</v>
          </cell>
          <cell r="V75" t="str">
            <v>NO</v>
          </cell>
          <cell r="W75" t="str">
            <v>NO</v>
          </cell>
          <cell r="Z75" t="str">
            <v>No, no tenemos intención de patentar</v>
          </cell>
          <cell r="AA75" t="str">
            <v>No, no tenemos intención de patentar</v>
          </cell>
          <cell r="AB75" t="str">
            <v>Sí, la publicación prevista es en revista científica q1</v>
          </cell>
          <cell r="AC75" t="str">
            <v>Sí, la publicación prevista es en revista científica q1</v>
          </cell>
          <cell r="AD75" t="str">
            <v>False</v>
          </cell>
        </row>
        <row r="76">
          <cell r="A76" t="str">
            <v>0011-1365-2020-000075</v>
          </cell>
          <cell r="B76" t="str">
            <v>CropStick</v>
          </cell>
          <cell r="C76">
            <v>98520</v>
          </cell>
          <cell r="D76">
            <v>43983</v>
          </cell>
          <cell r="E76">
            <v>44651</v>
          </cell>
          <cell r="F76" t="str">
            <v>vicerrectorado.investigacion@unavarra.es</v>
          </cell>
          <cell r="G76" t="str">
            <v>Cadena alimentaria</v>
          </cell>
          <cell r="H76" t="str">
            <v>Cadena alimentaria</v>
          </cell>
          <cell r="I76" t="str">
            <v>Tic</v>
          </cell>
          <cell r="J76" t="str">
            <v>Tic</v>
          </cell>
          <cell r="K76" t="str">
            <v>Vertebrar la cadena de valor alimentaria</v>
          </cell>
          <cell r="L76" t="str">
            <v>Vertebrar la cadena de valor alimentaria</v>
          </cell>
          <cell r="M76" t="str">
            <v>Organismo de investigación</v>
          </cell>
          <cell r="N76" t="str">
            <v>Organismo de investigación</v>
          </cell>
          <cell r="O76" t="str">
            <v>Organismo de investigación</v>
          </cell>
          <cell r="P76" t="str">
            <v>Organismo de investigación</v>
          </cell>
          <cell r="Q76" t="str">
            <v>Transferencia del conocimiento</v>
          </cell>
          <cell r="R76" t="str">
            <v>Transferencia del conocimiento</v>
          </cell>
          <cell r="S76" t="str">
            <v>NO</v>
          </cell>
          <cell r="T76" t="str">
            <v>NO</v>
          </cell>
          <cell r="U76" t="str">
            <v>Universidad Publica</v>
          </cell>
          <cell r="V76" t="str">
            <v>NO</v>
          </cell>
          <cell r="W76" t="str">
            <v>NO</v>
          </cell>
          <cell r="Z76" t="str">
            <v>No, no tenemos intención de patentar</v>
          </cell>
          <cell r="AA76" t="str">
            <v>No, no tenemos intención de patentar</v>
          </cell>
          <cell r="AB76" t="str">
            <v>Sí, la publicación prevista es en revista científica q1</v>
          </cell>
          <cell r="AC76" t="str">
            <v>Sí, la publicación prevista es en revista científica q1</v>
          </cell>
          <cell r="AD76" t="str">
            <v>False</v>
          </cell>
        </row>
        <row r="77">
          <cell r="A77" t="str">
            <v>0011-1365-2020-000076</v>
          </cell>
          <cell r="B77" t="str">
            <v>Estudio del efecto de la reducción del tamaño de partícula sobre la actividad de los productos de magnesio obtenidos a partir de magnesita</v>
          </cell>
          <cell r="C77">
            <v>233202.54</v>
          </cell>
          <cell r="D77">
            <v>43922</v>
          </cell>
          <cell r="E77">
            <v>44651</v>
          </cell>
          <cell r="F77" t="str">
            <v>belen.zarranz@magnesitasnavarras.es</v>
          </cell>
          <cell r="G77" t="str">
            <v>Energías renovables y recursos</v>
          </cell>
          <cell r="H77" t="str">
            <v>Energías renovables y recursos</v>
          </cell>
          <cell r="I77" t="str">
            <v>Otros</v>
          </cell>
          <cell r="J77" t="str">
            <v>Otros</v>
          </cell>
          <cell r="K77" t="str">
            <v>Promover la economía circular</v>
          </cell>
          <cell r="L77" t="str">
            <v>Promover la economía circular</v>
          </cell>
          <cell r="M77" t="str">
            <v>Empresa</v>
          </cell>
          <cell r="N77" t="str">
            <v>Empresa</v>
          </cell>
          <cell r="O77" t="str">
            <v>Grande</v>
          </cell>
          <cell r="P77" t="str">
            <v>Grande</v>
          </cell>
          <cell r="Q77" t="str">
            <v>Individual</v>
          </cell>
          <cell r="R77" t="str">
            <v>Individual</v>
          </cell>
          <cell r="S77" t="str">
            <v>SI</v>
          </cell>
          <cell r="T77" t="str">
            <v>SI</v>
          </cell>
          <cell r="U77" t="str">
            <v>15-A-232-00000016</v>
          </cell>
          <cell r="V77" t="str">
            <v>SI</v>
          </cell>
          <cell r="W77" t="str">
            <v>SI</v>
          </cell>
          <cell r="X77">
            <v>43917</v>
          </cell>
          <cell r="Y77" t="str">
            <v>CDTI</v>
          </cell>
          <cell r="Z77" t="str">
            <v>No, no tenemos intención de patentar</v>
          </cell>
          <cell r="AA77" t="str">
            <v>No, no tenemos intención de patentar</v>
          </cell>
          <cell r="AB77" t="str">
            <v>Sí, la publicación prevista es en revista científica</v>
          </cell>
          <cell r="AC77" t="str">
            <v>Sí, la publicación prevista es en revista científica</v>
          </cell>
          <cell r="AD77" t="str">
            <v>False</v>
          </cell>
        </row>
        <row r="78">
          <cell r="A78" t="str">
            <v>0011-1365-2020-000077</v>
          </cell>
          <cell r="B78" t="str">
            <v>DIGILEAN</v>
          </cell>
          <cell r="C78">
            <v>165199.96</v>
          </cell>
          <cell r="D78">
            <v>43922</v>
          </cell>
          <cell r="E78">
            <v>44651</v>
          </cell>
          <cell r="F78" t="str">
            <v>info@iar-soft.com</v>
          </cell>
          <cell r="G78" t="str">
            <v>Automoción y mecatrónica</v>
          </cell>
          <cell r="H78" t="str">
            <v>Automoción y mecatrónica</v>
          </cell>
          <cell r="I78" t="str">
            <v>Tic</v>
          </cell>
          <cell r="J78" t="str">
            <v>Tic</v>
          </cell>
          <cell r="K78" t="str">
            <v>Transformación 4.0 de la industria navarra</v>
          </cell>
          <cell r="L78" t="str">
            <v>Transformación 4.0 de la industria navarra</v>
          </cell>
          <cell r="M78" t="str">
            <v>Empresa</v>
          </cell>
          <cell r="N78" t="str">
            <v>Empresa</v>
          </cell>
          <cell r="O78" t="str">
            <v>Pequeña</v>
          </cell>
          <cell r="P78" t="str">
            <v>Pequeña</v>
          </cell>
          <cell r="Q78" t="str">
            <v>Individual</v>
          </cell>
          <cell r="R78" t="str">
            <v>Individual</v>
          </cell>
          <cell r="S78" t="str">
            <v>SI</v>
          </cell>
          <cell r="T78" t="str">
            <v>SI</v>
          </cell>
          <cell r="V78" t="str">
            <v>NO</v>
          </cell>
          <cell r="W78" t="str">
            <v>NO</v>
          </cell>
          <cell r="Z78" t="str">
            <v>No, no tenemos intención de patentar</v>
          </cell>
          <cell r="AA78" t="str">
            <v>No, no tenemos intención de patentar</v>
          </cell>
          <cell r="AB78" t="str">
            <v>No, no tenemos prevista publicación</v>
          </cell>
          <cell r="AC78" t="str">
            <v>No, no tenemos prevista publicación</v>
          </cell>
          <cell r="AD78" t="str">
            <v>False</v>
          </cell>
        </row>
        <row r="79">
          <cell r="A79" t="str">
            <v>0011-1365-2020-000078</v>
          </cell>
          <cell r="B79" t="str">
            <v>DIVA</v>
          </cell>
          <cell r="C79">
            <v>155251</v>
          </cell>
          <cell r="D79">
            <v>43922</v>
          </cell>
          <cell r="E79">
            <v>44651</v>
          </cell>
          <cell r="F79" t="str">
            <v>vicerrectorado.investigacion@unavarra.es</v>
          </cell>
          <cell r="G79" t="str">
            <v>Automoción y mecatrónica</v>
          </cell>
          <cell r="H79" t="str">
            <v>Automoción y mecatrónica</v>
          </cell>
          <cell r="I79" t="str">
            <v>Tic</v>
          </cell>
          <cell r="J79" t="str">
            <v>Tic</v>
          </cell>
          <cell r="K79" t="str">
            <v>Transformación 4.0 de la industria navarra</v>
          </cell>
          <cell r="L79" t="str">
            <v>Transformación 4.0 de la industria navarra</v>
          </cell>
          <cell r="M79" t="str">
            <v>Organismo de investigación</v>
          </cell>
          <cell r="N79" t="str">
            <v>Organismo de investigación</v>
          </cell>
          <cell r="O79" t="str">
            <v>Organismo de investigación</v>
          </cell>
          <cell r="P79" t="str">
            <v>Organismo de investigación</v>
          </cell>
          <cell r="Q79" t="str">
            <v>Transferencia del conocimiento</v>
          </cell>
          <cell r="R79" t="str">
            <v>Transferencia del conocimiento</v>
          </cell>
          <cell r="S79" t="str">
            <v>NO</v>
          </cell>
          <cell r="T79" t="str">
            <v>NO</v>
          </cell>
          <cell r="U79" t="str">
            <v>Universidad Publica</v>
          </cell>
          <cell r="V79" t="str">
            <v>NO</v>
          </cell>
          <cell r="W79" t="str">
            <v>NO</v>
          </cell>
          <cell r="Z79" t="str">
            <v>No, no tenemos intención de patentar</v>
          </cell>
          <cell r="AA79" t="str">
            <v>No, no tenemos intención de patentar</v>
          </cell>
          <cell r="AB79" t="str">
            <v>Sí, la publicación prevista es en revista científica q1</v>
          </cell>
          <cell r="AC79" t="str">
            <v>Sí, la publicación prevista es en revista científica q1</v>
          </cell>
          <cell r="AD79" t="str">
            <v>False</v>
          </cell>
        </row>
        <row r="80">
          <cell r="A80" t="str">
            <v>0011-1365-2020-000079</v>
          </cell>
          <cell r="B80" t="str">
            <v>KITS DE CARROCERÍA DE CAMIÓN CON APERTURAS ERGONÓMICAS DE ALTA SEGURIDAD PARA LA INTEGRACIÓN - ERGOCAR</v>
          </cell>
          <cell r="C80">
            <v>93402</v>
          </cell>
          <cell r="D80">
            <v>43922</v>
          </cell>
          <cell r="E80">
            <v>44651</v>
          </cell>
          <cell r="F80" t="str">
            <v>vicerrectorado.investigacion@unavarra.es</v>
          </cell>
          <cell r="G80" t="str">
            <v>Automoción y mecatrónica</v>
          </cell>
          <cell r="H80" t="str">
            <v>Automoción y mecatrónica</v>
          </cell>
          <cell r="I80" t="str">
            <v>Otros</v>
          </cell>
          <cell r="J80" t="str">
            <v>Otros</v>
          </cell>
          <cell r="K80" t="str">
            <v>Otros</v>
          </cell>
          <cell r="L80" t="str">
            <v>Otros</v>
          </cell>
          <cell r="M80" t="str">
            <v>Organismo de investigación</v>
          </cell>
          <cell r="N80" t="str">
            <v>Organismo de investigación</v>
          </cell>
          <cell r="O80" t="str">
            <v>Organismo de investigación</v>
          </cell>
          <cell r="P80" t="str">
            <v>Organismo de investigación</v>
          </cell>
          <cell r="Q80" t="str">
            <v>Transferencia del conocimiento</v>
          </cell>
          <cell r="R80" t="str">
            <v>Transferencia del conocimiento</v>
          </cell>
          <cell r="S80" t="str">
            <v>NO</v>
          </cell>
          <cell r="T80" t="str">
            <v>NO</v>
          </cell>
          <cell r="U80" t="str">
            <v>Universidad Publica</v>
          </cell>
          <cell r="V80" t="str">
            <v>NO</v>
          </cell>
          <cell r="W80" t="str">
            <v>NO</v>
          </cell>
          <cell r="Z80" t="str">
            <v>Sí, la patente prevista es nacional</v>
          </cell>
          <cell r="AA80" t="str">
            <v>Sí, la patente prevista es nacional</v>
          </cell>
          <cell r="AB80" t="str">
            <v>No, no tenemos prevista publicación</v>
          </cell>
          <cell r="AC80" t="str">
            <v>No, no tenemos prevista publicación</v>
          </cell>
          <cell r="AD80" t="str">
            <v>False</v>
          </cell>
        </row>
        <row r="81">
          <cell r="A81" t="str">
            <v>0011-1365-2020-000080</v>
          </cell>
          <cell r="B81" t="str">
            <v>Estabilización de suelos ácidos con coproductos de magnesio (ESAMAG)</v>
          </cell>
          <cell r="C81">
            <v>204778</v>
          </cell>
          <cell r="D81">
            <v>43983</v>
          </cell>
          <cell r="E81">
            <v>44651</v>
          </cell>
          <cell r="F81" t="str">
            <v>vicerrectorado.investigacion@unavarra.es</v>
          </cell>
          <cell r="G81" t="str">
            <v>Energías renovables y recursos</v>
          </cell>
          <cell r="H81" t="str">
            <v>Energías renovables y recursos</v>
          </cell>
          <cell r="I81" t="str">
            <v>Otros</v>
          </cell>
          <cell r="J81" t="str">
            <v>Otros</v>
          </cell>
          <cell r="K81" t="str">
            <v>Promover la economía circular</v>
          </cell>
          <cell r="L81" t="str">
            <v>Promover la economía circular</v>
          </cell>
          <cell r="M81" t="str">
            <v>Organismo de investigación</v>
          </cell>
          <cell r="N81" t="str">
            <v>Organismo de investigación</v>
          </cell>
          <cell r="O81" t="str">
            <v>Organismo de investigación</v>
          </cell>
          <cell r="P81" t="str">
            <v>Organismo de investigación</v>
          </cell>
          <cell r="Q81" t="str">
            <v>Transferencia del conocimiento</v>
          </cell>
          <cell r="R81" t="str">
            <v>Transferencia del conocimiento</v>
          </cell>
          <cell r="S81" t="str">
            <v>NO</v>
          </cell>
          <cell r="T81" t="str">
            <v>NO</v>
          </cell>
          <cell r="U81" t="str">
            <v>Universidad Publica</v>
          </cell>
          <cell r="V81" t="str">
            <v>NO</v>
          </cell>
          <cell r="W81" t="str">
            <v>NO</v>
          </cell>
          <cell r="Z81" t="str">
            <v>No, no tenemos intención de patentar</v>
          </cell>
          <cell r="AA81" t="str">
            <v>No, no tenemos intención de patentar</v>
          </cell>
          <cell r="AB81" t="str">
            <v>Sí, la publicación prevista es en revista científica q1</v>
          </cell>
          <cell r="AC81" t="str">
            <v>Sí, la publicación prevista es en revista científica q1</v>
          </cell>
          <cell r="AD81" t="str">
            <v>False</v>
          </cell>
        </row>
        <row r="82">
          <cell r="A82" t="str">
            <v>0011-1365-2020-000081</v>
          </cell>
          <cell r="B82" t="str">
            <v>PLATAFORMA DE MOVILIDAD OMNIDIRECCIONAL PERSONALIZABLE PARA VEHÍCULOS ELÉCTRICOS URBANOS QUE INCORPORA TRACCIÓN, DIRECCIÓN, SUSPENSIÓN Y FRENO INDEPENDIENTES EN CADA CÓRNER (OMNISTEERING)</v>
          </cell>
          <cell r="C82">
            <v>330381</v>
          </cell>
          <cell r="D82">
            <v>43922</v>
          </cell>
          <cell r="E82">
            <v>44561</v>
          </cell>
          <cell r="F82" t="str">
            <v>administracion@ntdd.es</v>
          </cell>
          <cell r="G82" t="str">
            <v>Automoción y mecatrónica</v>
          </cell>
          <cell r="H82" t="str">
            <v>Automoción y mecatrónica</v>
          </cell>
          <cell r="I82" t="str">
            <v>Tic</v>
          </cell>
          <cell r="J82" t="str">
            <v>Tic</v>
          </cell>
          <cell r="K82" t="str">
            <v>Impulso del vehículo eléctrico</v>
          </cell>
          <cell r="L82" t="str">
            <v>Impulso del vehículo eléctrico</v>
          </cell>
          <cell r="M82" t="str">
            <v>Empresa</v>
          </cell>
          <cell r="N82" t="str">
            <v>Empresa</v>
          </cell>
          <cell r="O82" t="str">
            <v>Pequeña</v>
          </cell>
          <cell r="P82" t="str">
            <v>Pequeña</v>
          </cell>
          <cell r="Q82" t="str">
            <v>Individual</v>
          </cell>
          <cell r="R82" t="str">
            <v>Individual</v>
          </cell>
          <cell r="S82" t="str">
            <v>SI</v>
          </cell>
          <cell r="T82" t="str">
            <v>SI</v>
          </cell>
          <cell r="V82" t="str">
            <v>SI</v>
          </cell>
          <cell r="W82" t="str">
            <v>SI</v>
          </cell>
          <cell r="X82">
            <v>43900</v>
          </cell>
          <cell r="Y82" t="str">
            <v>CDTI</v>
          </cell>
          <cell r="Z82" t="str">
            <v>Sí, la patente prevista es europea</v>
          </cell>
          <cell r="AA82" t="str">
            <v>Sí, la patente prevista es europea</v>
          </cell>
          <cell r="AB82" t="str">
            <v>No, no tenemos prevista publicación</v>
          </cell>
          <cell r="AC82" t="str">
            <v>No, no tenemos prevista publicación</v>
          </cell>
          <cell r="AD82" t="str">
            <v>False</v>
          </cell>
        </row>
        <row r="83">
          <cell r="A83" t="str">
            <v>0011-1365-2020-000082</v>
          </cell>
          <cell r="B83" t="str">
            <v>:  Forrajes altoproteícos para mercado internacional – FOHIPRO</v>
          </cell>
          <cell r="C83">
            <v>84808</v>
          </cell>
          <cell r="D83">
            <v>43922</v>
          </cell>
          <cell r="E83">
            <v>44651</v>
          </cell>
          <cell r="F83" t="str">
            <v>vicerrectorado.investigacion@unavarra.es</v>
          </cell>
          <cell r="G83" t="str">
            <v>Cadena alimentaria</v>
          </cell>
          <cell r="H83" t="str">
            <v>Cadena alimentaria</v>
          </cell>
          <cell r="I83" t="str">
            <v>Manufactura avanzada</v>
          </cell>
          <cell r="J83" t="str">
            <v>Manufactura avanzada</v>
          </cell>
          <cell r="K83" t="str">
            <v>Transformación 4.0 de la industria navarra</v>
          </cell>
          <cell r="L83" t="str">
            <v>Transformación 4.0 de la industria navarra</v>
          </cell>
          <cell r="M83" t="str">
            <v>Organismo de investigación</v>
          </cell>
          <cell r="N83" t="str">
            <v>Organismo de investigación</v>
          </cell>
          <cell r="O83" t="str">
            <v>Organismo de investigación</v>
          </cell>
          <cell r="P83" t="str">
            <v>Organismo de investigación</v>
          </cell>
          <cell r="Q83" t="str">
            <v>Transferencia del conocimiento</v>
          </cell>
          <cell r="R83" t="str">
            <v>Transferencia del conocimiento</v>
          </cell>
          <cell r="S83" t="str">
            <v>NO</v>
          </cell>
          <cell r="T83" t="str">
            <v>NO</v>
          </cell>
          <cell r="U83" t="str">
            <v>Universidad Publica de Navarra</v>
          </cell>
          <cell r="V83" t="str">
            <v>NO</v>
          </cell>
          <cell r="W83" t="str">
            <v>NO</v>
          </cell>
          <cell r="Z83" t="str">
            <v>No, no tenemos intención de patentar</v>
          </cell>
          <cell r="AA83" t="str">
            <v>No, no tenemos intención de patentar</v>
          </cell>
          <cell r="AB83" t="str">
            <v>Sí, la publicación prevista es en revista científica q1</v>
          </cell>
          <cell r="AC83" t="str">
            <v>Sí, la publicación prevista es en revista científica q1</v>
          </cell>
          <cell r="AD83" t="str">
            <v>False</v>
          </cell>
        </row>
        <row r="84">
          <cell r="A84" t="str">
            <v>0011-1365-2020-000083</v>
          </cell>
          <cell r="B84" t="str">
            <v>Nuevas herramientas para la gestión forestal basadas en el uso de tecnologías aéreas y satelitales de observación de la tierra (forestOBS)</v>
          </cell>
          <cell r="C84">
            <v>84138</v>
          </cell>
          <cell r="D84">
            <v>43922</v>
          </cell>
          <cell r="E84">
            <v>44651</v>
          </cell>
          <cell r="F84" t="str">
            <v>vicerrectorado.investigacion@unavarra.es</v>
          </cell>
          <cell r="G84" t="str">
            <v>Energías renovables y recursos</v>
          </cell>
          <cell r="H84" t="str">
            <v>Energías renovables y recursos</v>
          </cell>
          <cell r="I84" t="str">
            <v>Tic</v>
          </cell>
          <cell r="J84" t="str">
            <v>Tic</v>
          </cell>
          <cell r="K84" t="str">
            <v>Promover la economía circular</v>
          </cell>
          <cell r="L84" t="str">
            <v>Promover la economía circular</v>
          </cell>
          <cell r="M84" t="str">
            <v>Organismo de investigación</v>
          </cell>
          <cell r="N84" t="str">
            <v>Organismo de investigación</v>
          </cell>
          <cell r="O84" t="str">
            <v>Organismo de investigación</v>
          </cell>
          <cell r="P84" t="str">
            <v>Organismo de investigación</v>
          </cell>
          <cell r="Q84" t="str">
            <v>Transferencia del conocimiento</v>
          </cell>
          <cell r="R84" t="str">
            <v>Transferencia del conocimiento</v>
          </cell>
          <cell r="S84" t="str">
            <v>NO</v>
          </cell>
          <cell r="T84" t="str">
            <v>NO</v>
          </cell>
          <cell r="U84" t="str">
            <v>Universidad Publica</v>
          </cell>
          <cell r="V84" t="str">
            <v>NO</v>
          </cell>
          <cell r="W84" t="str">
            <v>NO</v>
          </cell>
          <cell r="Z84" t="str">
            <v>No, no tenemos intención de patentar</v>
          </cell>
          <cell r="AA84" t="str">
            <v>No, no tenemos intención de patentar</v>
          </cell>
          <cell r="AB84" t="str">
            <v>Sí, la publicación prevista es en revista científica q1</v>
          </cell>
          <cell r="AC84" t="str">
            <v>Sí, la publicación prevista es en revista científica q1</v>
          </cell>
          <cell r="AD84" t="str">
            <v>False</v>
          </cell>
        </row>
        <row r="85">
          <cell r="A85" t="str">
            <v>0011-1365-2020-000084</v>
          </cell>
          <cell r="B85" t="str">
            <v>FORM3D – Investigación en tecnologías de impresión 3D para la fabricación de moldes de termoformado</v>
          </cell>
          <cell r="C85">
            <v>108607</v>
          </cell>
          <cell r="D85">
            <v>43922</v>
          </cell>
          <cell r="E85">
            <v>44651</v>
          </cell>
          <cell r="F85" t="str">
            <v>vicerrectorado.investigacion@unavarra.es</v>
          </cell>
          <cell r="G85" t="str">
            <v>Otros</v>
          </cell>
          <cell r="H85" t="str">
            <v>Otros</v>
          </cell>
          <cell r="I85" t="str">
            <v>Manufactura avanzada</v>
          </cell>
          <cell r="J85" t="str">
            <v>Manufactura avanzada</v>
          </cell>
          <cell r="K85" t="str">
            <v>Transformación 4.0 de la industria navarra</v>
          </cell>
          <cell r="L85" t="str">
            <v>Transformación 4.0 de la industria navarra</v>
          </cell>
          <cell r="M85" t="str">
            <v>Organismo de investigación</v>
          </cell>
          <cell r="N85" t="str">
            <v>Organismo de investigación</v>
          </cell>
          <cell r="O85" t="str">
            <v>Organismo de investigación</v>
          </cell>
          <cell r="P85" t="str">
            <v>Organismo de investigación</v>
          </cell>
          <cell r="Q85" t="str">
            <v>Transferencia del conocimiento</v>
          </cell>
          <cell r="R85" t="str">
            <v>Transferencia del conocimiento</v>
          </cell>
          <cell r="S85" t="str">
            <v>NO</v>
          </cell>
          <cell r="T85" t="str">
            <v>NO</v>
          </cell>
          <cell r="U85" t="str">
            <v>Universidad Publica</v>
          </cell>
          <cell r="V85" t="str">
            <v>NO</v>
          </cell>
          <cell r="W85" t="str">
            <v>NO</v>
          </cell>
          <cell r="Z85" t="str">
            <v>Sí, la patente prevista es europea</v>
          </cell>
          <cell r="AA85" t="str">
            <v>Sí, la patente prevista es europea</v>
          </cell>
          <cell r="AB85" t="str">
            <v>No, no tenemos prevista publicación</v>
          </cell>
          <cell r="AC85" t="str">
            <v>No, no tenemos prevista publicación</v>
          </cell>
          <cell r="AD85" t="str">
            <v>False</v>
          </cell>
        </row>
        <row r="86">
          <cell r="A86" t="str">
            <v>0011-1365-2020-000085</v>
          </cell>
          <cell r="B86" t="str">
            <v>ALL IN ONE WIND CRANE. Grúa autoinstalable para la instalación y mantenimiento de aerogeneradores</v>
          </cell>
          <cell r="C86">
            <v>132174</v>
          </cell>
          <cell r="D86">
            <v>43922</v>
          </cell>
          <cell r="E86">
            <v>44651</v>
          </cell>
          <cell r="F86" t="str">
            <v>info@tetrace.com</v>
          </cell>
          <cell r="G86" t="str">
            <v>Energías renovables y recursos</v>
          </cell>
          <cell r="H86" t="str">
            <v>Energías renovables y recursos</v>
          </cell>
          <cell r="I86" t="str">
            <v>Otros</v>
          </cell>
          <cell r="J86" t="str">
            <v>Otros</v>
          </cell>
          <cell r="K86" t="str">
            <v>Fortalecimiento del sector eólico</v>
          </cell>
          <cell r="L86" t="str">
            <v>Fortalecimiento del sector eólico</v>
          </cell>
          <cell r="M86" t="str">
            <v>Empresa</v>
          </cell>
          <cell r="N86" t="str">
            <v>Empresa</v>
          </cell>
          <cell r="O86" t="str">
            <v>Pequeña</v>
          </cell>
          <cell r="P86" t="str">
            <v>Pequeña</v>
          </cell>
          <cell r="Q86" t="str">
            <v>Individual</v>
          </cell>
          <cell r="R86" t="str">
            <v>Individual</v>
          </cell>
          <cell r="S86" t="str">
            <v>SI</v>
          </cell>
          <cell r="T86" t="str">
            <v>SI</v>
          </cell>
          <cell r="U86" t="str">
            <v>15-B-B00-00061180</v>
          </cell>
          <cell r="V86" t="str">
            <v>NO</v>
          </cell>
          <cell r="W86" t="str">
            <v>NO</v>
          </cell>
          <cell r="Z86" t="str">
            <v>No, no tenemos intención de patentar</v>
          </cell>
          <cell r="AA86" t="str">
            <v>No, no tenemos intención de patentar</v>
          </cell>
          <cell r="AB86" t="str">
            <v>No, no tenemos prevista publicación</v>
          </cell>
          <cell r="AC86" t="str">
            <v>No, no tenemos prevista publicación</v>
          </cell>
          <cell r="AD86" t="str">
            <v>False</v>
          </cell>
        </row>
        <row r="87">
          <cell r="A87" t="str">
            <v>0011-1365-2020-000086</v>
          </cell>
          <cell r="B87" t="str">
            <v>DESARROLLO DE FÓRMULAS NUTRICIONALES PARA POBLACIÓN PREDIABÉTICA BASADAS EN MICROORGANISMOS CON CAPACIDAD NORMOGLUCEMIANTE</v>
          </cell>
          <cell r="C87">
            <v>101311</v>
          </cell>
          <cell r="D87">
            <v>43922</v>
          </cell>
          <cell r="E87">
            <v>44651</v>
          </cell>
          <cell r="F87" t="str">
            <v>vicerrectorado.investigacion@unavarra.es</v>
          </cell>
          <cell r="G87" t="str">
            <v>Salud</v>
          </cell>
          <cell r="H87" t="str">
            <v>Salud</v>
          </cell>
          <cell r="I87" t="str">
            <v>Biotecnología</v>
          </cell>
          <cell r="J87" t="str">
            <v>Biotecnología</v>
          </cell>
          <cell r="K87" t="str">
            <v>Apuesta por la alimentación saludable</v>
          </cell>
          <cell r="L87" t="str">
            <v>Apuesta por la alimentación saludable</v>
          </cell>
          <cell r="M87" t="str">
            <v>Organismo de investigación</v>
          </cell>
          <cell r="N87" t="str">
            <v>Organismo de investigación</v>
          </cell>
          <cell r="O87" t="str">
            <v>Organismo de investigación</v>
          </cell>
          <cell r="P87" t="str">
            <v>Organismo de investigación</v>
          </cell>
          <cell r="Q87" t="str">
            <v>Transferencia del conocimiento</v>
          </cell>
          <cell r="R87" t="str">
            <v>Transferencia del conocimiento</v>
          </cell>
          <cell r="S87" t="str">
            <v>NO</v>
          </cell>
          <cell r="T87" t="str">
            <v>NO</v>
          </cell>
          <cell r="U87" t="str">
            <v>Universidad Publica</v>
          </cell>
          <cell r="V87" t="str">
            <v>SI</v>
          </cell>
          <cell r="W87" t="str">
            <v>SI</v>
          </cell>
          <cell r="X87">
            <v>44128</v>
          </cell>
          <cell r="Y87" t="str">
            <v>Ministerio Ciencia, Innovacion e Universidades. RETOS COLAB.</v>
          </cell>
          <cell r="Z87" t="str">
            <v>No, no tenemos intención de patentar</v>
          </cell>
          <cell r="AA87" t="str">
            <v>No, no tenemos intención de patentar</v>
          </cell>
          <cell r="AB87" t="str">
            <v>Sí, la publicación prevista es en revista científica q1</v>
          </cell>
          <cell r="AC87" t="str">
            <v>Sí, la publicación prevista es en revista científica q1</v>
          </cell>
          <cell r="AD87" t="str">
            <v>False</v>
          </cell>
        </row>
        <row r="88">
          <cell r="A88" t="str">
            <v>0011-1365-2020-000087</v>
          </cell>
          <cell r="B88" t="str">
            <v>LUPULINA FRESCA PARA CERVEZAS DE ALTA CALIDAD - FRESHLUP</v>
          </cell>
          <cell r="C88">
            <v>85702</v>
          </cell>
          <cell r="D88">
            <v>43922</v>
          </cell>
          <cell r="E88">
            <v>44651</v>
          </cell>
          <cell r="F88" t="str">
            <v>vicerrectorado.investigacion@unavarra.es</v>
          </cell>
          <cell r="G88" t="str">
            <v>Cadena alimentaria</v>
          </cell>
          <cell r="H88" t="str">
            <v>Cadena alimentaria</v>
          </cell>
          <cell r="I88" t="str">
            <v>Manufactura avanzada</v>
          </cell>
          <cell r="J88" t="str">
            <v>Manufactura avanzada</v>
          </cell>
          <cell r="K88" t="str">
            <v>Vertebrar la cadena de valor alimentaria</v>
          </cell>
          <cell r="L88" t="str">
            <v>Vertebrar la cadena de valor alimentaria</v>
          </cell>
          <cell r="M88" t="str">
            <v>Organismo de investigación</v>
          </cell>
          <cell r="N88" t="str">
            <v>Organismo de investigación</v>
          </cell>
          <cell r="O88" t="str">
            <v>Organismo de investigación</v>
          </cell>
          <cell r="P88" t="str">
            <v>Organismo de investigación</v>
          </cell>
          <cell r="Q88" t="str">
            <v>Transferencia del conocimiento</v>
          </cell>
          <cell r="R88" t="str">
            <v>Transferencia del conocimiento</v>
          </cell>
          <cell r="S88" t="str">
            <v>NO</v>
          </cell>
          <cell r="T88" t="str">
            <v>NO</v>
          </cell>
          <cell r="U88" t="str">
            <v>Universidad Publica</v>
          </cell>
          <cell r="V88" t="str">
            <v>NO</v>
          </cell>
          <cell r="W88" t="str">
            <v>NO</v>
          </cell>
          <cell r="Z88" t="str">
            <v>No, no tenemos intención de patentar</v>
          </cell>
          <cell r="AA88" t="str">
            <v>No, no tenemos intención de patentar</v>
          </cell>
          <cell r="AB88" t="str">
            <v>Sí, la publicación prevista es en revista científica q1</v>
          </cell>
          <cell r="AC88" t="str">
            <v>Sí, la publicación prevista es en revista científica q1</v>
          </cell>
          <cell r="AD88" t="str">
            <v>False</v>
          </cell>
        </row>
        <row r="89">
          <cell r="A89" t="str">
            <v>0011-1365-2020-000088</v>
          </cell>
          <cell r="B89" t="str">
            <v>TOWER CARRIER. Plataforma Integral para el transporte optimizado de torres eólicas offshore</v>
          </cell>
          <cell r="C89">
            <v>155249.79999999999</v>
          </cell>
          <cell r="D89">
            <v>43922</v>
          </cell>
          <cell r="E89">
            <v>44651</v>
          </cell>
          <cell r="F89" t="str">
            <v>info@tetrace.com</v>
          </cell>
          <cell r="G89" t="str">
            <v>Energías renovables y recursos</v>
          </cell>
          <cell r="H89" t="str">
            <v>Energías renovables y recursos</v>
          </cell>
          <cell r="I89" t="str">
            <v>Otros</v>
          </cell>
          <cell r="J89" t="str">
            <v>Otros</v>
          </cell>
          <cell r="K89" t="str">
            <v>Fortalecimiento del sector eólico</v>
          </cell>
          <cell r="L89" t="str">
            <v>Fortalecimiento del sector eólico</v>
          </cell>
          <cell r="M89" t="str">
            <v>Empresa</v>
          </cell>
          <cell r="N89" t="str">
            <v>Empresa</v>
          </cell>
          <cell r="O89" t="str">
            <v>Pequeña</v>
          </cell>
          <cell r="P89" t="str">
            <v>Pequeña</v>
          </cell>
          <cell r="Q89" t="str">
            <v>Individual</v>
          </cell>
          <cell r="R89" t="str">
            <v>Individual</v>
          </cell>
          <cell r="S89" t="str">
            <v>SI</v>
          </cell>
          <cell r="T89" t="str">
            <v>SI</v>
          </cell>
          <cell r="U89" t="str">
            <v>15-B-B00-00061180</v>
          </cell>
          <cell r="V89" t="str">
            <v>NO</v>
          </cell>
          <cell r="W89" t="str">
            <v>NO</v>
          </cell>
          <cell r="Z89" t="str">
            <v>No, no tenemos intención de patentar</v>
          </cell>
          <cell r="AA89" t="str">
            <v>No, no tenemos intención de patentar</v>
          </cell>
          <cell r="AB89" t="str">
            <v>No, no tenemos prevista publicación</v>
          </cell>
          <cell r="AC89" t="str">
            <v>No, no tenemos prevista publicación</v>
          </cell>
          <cell r="AD89" t="str">
            <v>False</v>
          </cell>
        </row>
        <row r="90">
          <cell r="A90" t="str">
            <v>0011-1365-2020-000089</v>
          </cell>
          <cell r="B90" t="str">
            <v>FUNGALROMES: Producción de aromas de hongos comestibles en cultivos sumergidos</v>
          </cell>
          <cell r="C90">
            <v>46020</v>
          </cell>
          <cell r="D90">
            <v>43922</v>
          </cell>
          <cell r="E90">
            <v>44651</v>
          </cell>
          <cell r="F90" t="str">
            <v>vicerrectorado.investigacion@unavarra.es</v>
          </cell>
          <cell r="G90" t="str">
            <v>Cadena alimentaria</v>
          </cell>
          <cell r="H90" t="str">
            <v>Cadena alimentaria</v>
          </cell>
          <cell r="I90" t="str">
            <v>Biotecnología</v>
          </cell>
          <cell r="J90" t="str">
            <v>Biotecnología</v>
          </cell>
          <cell r="K90" t="str">
            <v>Vertebrar la cadena de valor alimentaria</v>
          </cell>
          <cell r="L90" t="str">
            <v>Vertebrar la cadena de valor alimentaria</v>
          </cell>
          <cell r="M90" t="str">
            <v>Organismo de investigación</v>
          </cell>
          <cell r="N90" t="str">
            <v>Organismo de investigación</v>
          </cell>
          <cell r="O90" t="str">
            <v>Organismo de investigación</v>
          </cell>
          <cell r="P90" t="str">
            <v>Organismo de investigación</v>
          </cell>
          <cell r="Q90" t="str">
            <v>Transferencia del conocimiento</v>
          </cell>
          <cell r="R90" t="str">
            <v>Transferencia del conocimiento</v>
          </cell>
          <cell r="S90" t="str">
            <v>NO</v>
          </cell>
          <cell r="T90" t="str">
            <v>NO</v>
          </cell>
          <cell r="U90" t="str">
            <v>Universidad Publica</v>
          </cell>
          <cell r="V90" t="str">
            <v>NO</v>
          </cell>
          <cell r="W90" t="str">
            <v>NO</v>
          </cell>
          <cell r="Z90" t="str">
            <v>No, no tenemos intención de patentar</v>
          </cell>
          <cell r="AA90" t="str">
            <v>No, no tenemos intención de patentar</v>
          </cell>
          <cell r="AB90" t="str">
            <v>No, no tenemos prevista publicación</v>
          </cell>
          <cell r="AC90" t="str">
            <v>No, no tenemos prevista publicación</v>
          </cell>
          <cell r="AD90" t="str">
            <v>False</v>
          </cell>
        </row>
        <row r="91">
          <cell r="A91" t="str">
            <v>0011-1365-2020-000090</v>
          </cell>
          <cell r="B91" t="str">
            <v>GogotickVision</v>
          </cell>
          <cell r="C91">
            <v>91818</v>
          </cell>
          <cell r="D91">
            <v>43922</v>
          </cell>
          <cell r="E91">
            <v>44651</v>
          </cell>
          <cell r="F91" t="str">
            <v>vicerrectorado.investigacion@unavarra.es</v>
          </cell>
          <cell r="G91" t="str">
            <v>Industrias creativas y digitales</v>
          </cell>
          <cell r="H91" t="str">
            <v>Industrias creativas y digitales</v>
          </cell>
          <cell r="I91" t="str">
            <v>Tic</v>
          </cell>
          <cell r="J91" t="str">
            <v>Tic</v>
          </cell>
          <cell r="K91" t="str">
            <v>Industrias creativas y digitales</v>
          </cell>
          <cell r="L91" t="str">
            <v>Industrias creativas y digitales</v>
          </cell>
          <cell r="M91" t="str">
            <v>Organismo de investigación</v>
          </cell>
          <cell r="N91" t="str">
            <v>Organismo de investigación</v>
          </cell>
          <cell r="O91" t="str">
            <v>Organismo de investigación</v>
          </cell>
          <cell r="P91" t="str">
            <v>Organismo de investigación</v>
          </cell>
          <cell r="Q91" t="str">
            <v>Transferencia del conocimiento</v>
          </cell>
          <cell r="R91" t="str">
            <v>Transferencia del conocimiento</v>
          </cell>
          <cell r="S91" t="str">
            <v>NO</v>
          </cell>
          <cell r="T91" t="str">
            <v>NO</v>
          </cell>
          <cell r="U91" t="str">
            <v>Universidad Publica</v>
          </cell>
          <cell r="V91" t="str">
            <v>NO</v>
          </cell>
          <cell r="W91" t="str">
            <v>NO</v>
          </cell>
          <cell r="Z91" t="str">
            <v>No, no tenemos intención de patentar</v>
          </cell>
          <cell r="AA91" t="str">
            <v>No, no tenemos intención de patentar</v>
          </cell>
          <cell r="AB91" t="str">
            <v>Sí, la publicación prevista es en revista científica q1</v>
          </cell>
          <cell r="AC91" t="str">
            <v>Sí, la publicación prevista es en revista científica q1</v>
          </cell>
          <cell r="AD91" t="str">
            <v>False</v>
          </cell>
        </row>
        <row r="92">
          <cell r="A92" t="str">
            <v>0011-1365-2020-000091</v>
          </cell>
          <cell r="B92" t="str">
            <v>DESARROLLO DE NUEVAS TÉCNICAS DE ELABORACIÓN PARA OBTENCIÓN DE VINOS ESPUMOSOS SIN ALCOHOL NI SULFITOS (ALCOHOLFREE).</v>
          </cell>
          <cell r="C92">
            <v>175780</v>
          </cell>
          <cell r="D92">
            <v>43922</v>
          </cell>
          <cell r="E92">
            <v>44651</v>
          </cell>
          <cell r="F92" t="str">
            <v>slopez@vintae.com</v>
          </cell>
          <cell r="G92" t="str">
            <v>Cadena alimentaria</v>
          </cell>
          <cell r="H92" t="str">
            <v>Cadena alimentaria</v>
          </cell>
          <cell r="I92" t="str">
            <v>Biotecnología</v>
          </cell>
          <cell r="J92" t="str">
            <v>Biotecnología</v>
          </cell>
          <cell r="K92" t="str">
            <v>Apuesta por la alimentación saludable</v>
          </cell>
          <cell r="L92" t="str">
            <v>Apuesta por la alimentación saludable</v>
          </cell>
          <cell r="M92" t="str">
            <v>Empresa</v>
          </cell>
          <cell r="N92" t="str">
            <v>Empresa</v>
          </cell>
          <cell r="O92" t="str">
            <v>Pequeña</v>
          </cell>
          <cell r="P92" t="str">
            <v>Pequeña</v>
          </cell>
          <cell r="Q92" t="str">
            <v>Individual</v>
          </cell>
          <cell r="R92" t="str">
            <v>Individual</v>
          </cell>
          <cell r="S92" t="str">
            <v>SI</v>
          </cell>
          <cell r="T92" t="str">
            <v>SI</v>
          </cell>
          <cell r="U92" t="str">
            <v>15-A-110-00042266</v>
          </cell>
          <cell r="V92" t="str">
            <v>NO</v>
          </cell>
          <cell r="W92" t="str">
            <v>NO</v>
          </cell>
          <cell r="Z92" t="str">
            <v>No, no tenemos intención de patentar</v>
          </cell>
          <cell r="AA92" t="str">
            <v>No, no tenemos intención de patentar</v>
          </cell>
          <cell r="AB92" t="str">
            <v>No, no tenemos prevista publicación</v>
          </cell>
          <cell r="AC92" t="str">
            <v>No, no tenemos prevista publicación</v>
          </cell>
          <cell r="AD92" t="str">
            <v>False</v>
          </cell>
        </row>
        <row r="93">
          <cell r="A93" t="str">
            <v>0011-1365-2020-000092</v>
          </cell>
          <cell r="B93" t="str">
            <v>i-GloveRehab: Sistema inteligente para la evaluación y rehabilitación personalizada de la mano</v>
          </cell>
          <cell r="C93">
            <v>63775</v>
          </cell>
          <cell r="D93">
            <v>44105</v>
          </cell>
          <cell r="E93">
            <v>44651</v>
          </cell>
          <cell r="F93" t="str">
            <v>vicerrectorado.investigacion@unavarra.es</v>
          </cell>
          <cell r="G93" t="str">
            <v>Salud</v>
          </cell>
          <cell r="H93" t="str">
            <v>Salud</v>
          </cell>
          <cell r="I93" t="str">
            <v>Tic</v>
          </cell>
          <cell r="J93" t="str">
            <v>Tic</v>
          </cell>
          <cell r="K93" t="str">
            <v>Aumento de la eficiencia de los servicios sanitarios</v>
          </cell>
          <cell r="L93" t="str">
            <v>Aumento de la eficiencia de los servicios sanitarios</v>
          </cell>
          <cell r="M93" t="str">
            <v>Organismo de investigación</v>
          </cell>
          <cell r="N93" t="str">
            <v>Organismo de investigación</v>
          </cell>
          <cell r="O93" t="str">
            <v>Organismo de investigación</v>
          </cell>
          <cell r="P93" t="str">
            <v>Organismo de investigación</v>
          </cell>
          <cell r="Q93" t="str">
            <v>Transferencia del conocimiento</v>
          </cell>
          <cell r="R93" t="str">
            <v>Transferencia del conocimiento</v>
          </cell>
          <cell r="S93" t="str">
            <v>NO</v>
          </cell>
          <cell r="T93" t="str">
            <v>NO</v>
          </cell>
          <cell r="U93" t="str">
            <v>Universidad Publica</v>
          </cell>
          <cell r="V93" t="str">
            <v>NO</v>
          </cell>
          <cell r="W93" t="str">
            <v>NO</v>
          </cell>
          <cell r="Z93" t="str">
            <v>No, no tenemos intención de patentar</v>
          </cell>
          <cell r="AA93" t="str">
            <v>No, no tenemos intención de patentar</v>
          </cell>
          <cell r="AB93" t="str">
            <v>Sí, la publicación prevista es en revista científica q1</v>
          </cell>
          <cell r="AC93" t="str">
            <v>Sí, la publicación prevista es en revista científica q1</v>
          </cell>
          <cell r="AD93" t="str">
            <v>False</v>
          </cell>
        </row>
        <row r="94">
          <cell r="A94" t="str">
            <v>0011-1365-2020-000093</v>
          </cell>
          <cell r="B94" t="str">
            <v>GogotickVisión: Reconocimiento de imágenes y análisis de emociones para Social Listening en eventos</v>
          </cell>
          <cell r="C94">
            <v>104000</v>
          </cell>
          <cell r="D94">
            <v>43922</v>
          </cell>
          <cell r="E94">
            <v>44651</v>
          </cell>
          <cell r="F94" t="str">
            <v>raul@gogotick.com</v>
          </cell>
          <cell r="G94" t="str">
            <v>Industrias creativas y digitales</v>
          </cell>
          <cell r="H94" t="str">
            <v>Industrias creativas y digitales</v>
          </cell>
          <cell r="I94" t="str">
            <v>Tic</v>
          </cell>
          <cell r="J94" t="str">
            <v>Tic</v>
          </cell>
          <cell r="K94" t="str">
            <v>Industrias creativas y digitales</v>
          </cell>
          <cell r="L94" t="str">
            <v>Industrias creativas y digitales</v>
          </cell>
          <cell r="M94" t="str">
            <v>Empresa</v>
          </cell>
          <cell r="N94" t="str">
            <v>Empresa</v>
          </cell>
          <cell r="O94" t="str">
            <v>Pequeña</v>
          </cell>
          <cell r="P94" t="str">
            <v>Pequeña</v>
          </cell>
          <cell r="Q94" t="str">
            <v>Transferencia del conocimiento</v>
          </cell>
          <cell r="R94" t="str">
            <v>Transferencia del conocimiento</v>
          </cell>
          <cell r="S94" t="str">
            <v>SI</v>
          </cell>
          <cell r="T94" t="str">
            <v>SI</v>
          </cell>
          <cell r="V94" t="str">
            <v>NO</v>
          </cell>
          <cell r="W94" t="str">
            <v>NO</v>
          </cell>
          <cell r="Z94" t="str">
            <v>No, no tenemos intención de patentar</v>
          </cell>
          <cell r="AA94" t="str">
            <v>No, no tenemos intención de patentar</v>
          </cell>
          <cell r="AB94" t="str">
            <v>No, no tenemos prevista publicación</v>
          </cell>
          <cell r="AC94" t="str">
            <v>No, no tenemos prevista publicación</v>
          </cell>
          <cell r="AD94" t="str">
            <v>False</v>
          </cell>
        </row>
        <row r="95">
          <cell r="A95" t="str">
            <v>0011-1365-2020-000094</v>
          </cell>
          <cell r="B95" t="str">
            <v>Displays Volumétricos Lightfield para presentación de producto configurable</v>
          </cell>
          <cell r="C95">
            <v>58143</v>
          </cell>
          <cell r="D95">
            <v>44068</v>
          </cell>
          <cell r="E95">
            <v>44651</v>
          </cell>
          <cell r="F95" t="str">
            <v>vicerrectorado.investigacion@unavarra.es</v>
          </cell>
          <cell r="G95" t="str">
            <v>Industrias creativas y digitales</v>
          </cell>
          <cell r="H95" t="str">
            <v>Industrias creativas y digitales</v>
          </cell>
          <cell r="I95" t="str">
            <v>Tic</v>
          </cell>
          <cell r="J95" t="str">
            <v>Tic</v>
          </cell>
          <cell r="K95" t="str">
            <v>Industrias creativas y digitales</v>
          </cell>
          <cell r="L95" t="str">
            <v>Industrias creativas y digitales</v>
          </cell>
          <cell r="M95" t="str">
            <v>Organismo de investigación</v>
          </cell>
          <cell r="N95" t="str">
            <v>Organismo de investigación</v>
          </cell>
          <cell r="O95" t="str">
            <v>Organismo de investigación</v>
          </cell>
          <cell r="P95" t="str">
            <v>Organismo de investigación</v>
          </cell>
          <cell r="Q95" t="str">
            <v>Transferencia del conocimiento</v>
          </cell>
          <cell r="R95" t="str">
            <v>Transferencia del conocimiento</v>
          </cell>
          <cell r="S95" t="str">
            <v>NO</v>
          </cell>
          <cell r="T95" t="str">
            <v>NO</v>
          </cell>
          <cell r="U95" t="str">
            <v>Universidad Publica</v>
          </cell>
          <cell r="V95" t="str">
            <v>NO</v>
          </cell>
          <cell r="W95" t="str">
            <v>NO</v>
          </cell>
          <cell r="Z95" t="str">
            <v>No, no tenemos intención de patentar</v>
          </cell>
          <cell r="AA95" t="str">
            <v>No, no tenemos intención de patentar</v>
          </cell>
          <cell r="AB95" t="str">
            <v>Sí, la publicación prevista es en revista científica q1</v>
          </cell>
          <cell r="AC95" t="str">
            <v>Sí, la publicación prevista es en revista científica q1</v>
          </cell>
          <cell r="AD95" t="str">
            <v>False</v>
          </cell>
        </row>
        <row r="96">
          <cell r="A96" t="str">
            <v>0011-1365-2020-000095</v>
          </cell>
          <cell r="B96" t="str">
            <v>TINTES VEGANOS Y NATURALES PARA EL CUIDADO DE LA MICROBIOTA CAPILAR</v>
          </cell>
          <cell r="C96">
            <v>307872.3</v>
          </cell>
          <cell r="D96">
            <v>43922</v>
          </cell>
          <cell r="E96">
            <v>44651</v>
          </cell>
          <cell r="F96" t="str">
            <v>angel@yanguas.net</v>
          </cell>
          <cell r="G96" t="str">
            <v>Salud</v>
          </cell>
          <cell r="H96" t="str">
            <v>Salud</v>
          </cell>
          <cell r="I96" t="str">
            <v>Biotecnología</v>
          </cell>
          <cell r="J96" t="str">
            <v>Biotecnología</v>
          </cell>
          <cell r="K96" t="str">
            <v>Promover la economía circular</v>
          </cell>
          <cell r="L96" t="str">
            <v>Promover la economía circular</v>
          </cell>
          <cell r="M96" t="str">
            <v>Empresa</v>
          </cell>
          <cell r="N96" t="str">
            <v>Empresa</v>
          </cell>
          <cell r="O96" t="str">
            <v>Pequeña</v>
          </cell>
          <cell r="P96" t="str">
            <v>Pequeña</v>
          </cell>
          <cell r="Q96" t="str">
            <v>Individual</v>
          </cell>
          <cell r="R96" t="str">
            <v>Individual</v>
          </cell>
          <cell r="S96" t="str">
            <v>SI</v>
          </cell>
          <cell r="T96" t="str">
            <v>SI</v>
          </cell>
          <cell r="V96" t="str">
            <v>SI</v>
          </cell>
          <cell r="W96" t="str">
            <v>SI</v>
          </cell>
          <cell r="X96">
            <v>43896</v>
          </cell>
          <cell r="Y96" t="str">
            <v xml:space="preserve">GOBIERNO NAVARRA (TECNÓLOGOS) </v>
          </cell>
          <cell r="Z96" t="str">
            <v>No, no tenemos intención de patentar</v>
          </cell>
          <cell r="AA96" t="str">
            <v>No, no tenemos intención de patentar</v>
          </cell>
          <cell r="AB96" t="str">
            <v>No, no tenemos prevista publicación</v>
          </cell>
          <cell r="AC96" t="str">
            <v>No, no tenemos prevista publicación</v>
          </cell>
          <cell r="AD96" t="str">
            <v>False</v>
          </cell>
        </row>
        <row r="97">
          <cell r="A97" t="str">
            <v>0011-1365-2020-000096</v>
          </cell>
          <cell r="B97" t="str">
            <v>DESARROLLO DE NUEVOS ALGORITMOS Y TECNOLOGÍAS BASADAS EN DEEP LEARNING ORIENTADOS A SERVICIOS DIGITALES DE INNOVACIÓN ABIERTA</v>
          </cell>
          <cell r="C97">
            <v>453291.85</v>
          </cell>
          <cell r="D97">
            <v>43922</v>
          </cell>
          <cell r="E97">
            <v>44651</v>
          </cell>
          <cell r="F97" t="str">
            <v>pibarrola@zabala.es</v>
          </cell>
          <cell r="G97" t="str">
            <v>Otros</v>
          </cell>
          <cell r="H97" t="str">
            <v>Otros</v>
          </cell>
          <cell r="I97" t="str">
            <v>Tic</v>
          </cell>
          <cell r="J97" t="str">
            <v>Tic</v>
          </cell>
          <cell r="K97" t="str">
            <v>Transformación 4.0 de la industria navarra</v>
          </cell>
          <cell r="L97" t="str">
            <v>Transformación 4.0 de la industria navarra</v>
          </cell>
          <cell r="M97" t="str">
            <v>Empresa</v>
          </cell>
          <cell r="N97" t="str">
            <v>Empresa</v>
          </cell>
          <cell r="O97" t="str">
            <v>Mediana</v>
          </cell>
          <cell r="P97" t="str">
            <v>Mediana</v>
          </cell>
          <cell r="Q97" t="str">
            <v>Individual</v>
          </cell>
          <cell r="R97" t="str">
            <v>Individual</v>
          </cell>
          <cell r="S97" t="str">
            <v>NO</v>
          </cell>
          <cell r="T97" t="str">
            <v>NO</v>
          </cell>
          <cell r="U97" t="str">
            <v>No aplica</v>
          </cell>
          <cell r="V97" t="str">
            <v>NO</v>
          </cell>
          <cell r="W97" t="str">
            <v>NO</v>
          </cell>
          <cell r="Z97" t="str">
            <v>No, no tenemos intención de patentar</v>
          </cell>
          <cell r="AA97" t="str">
            <v>No, no tenemos intención de patentar</v>
          </cell>
          <cell r="AB97" t="str">
            <v>No, no tenemos prevista publicación</v>
          </cell>
          <cell r="AC97" t="str">
            <v>No, no tenemos prevista publicación</v>
          </cell>
          <cell r="AD97" t="str">
            <v>True</v>
          </cell>
        </row>
        <row r="98">
          <cell r="A98" t="str">
            <v>0011-1365-2020-000097</v>
          </cell>
          <cell r="B98" t="str">
            <v>Semáforos inteligentes con predicción de comportamiento basado en Machine Learning y Deep Learning</v>
          </cell>
          <cell r="C98">
            <v>122407</v>
          </cell>
          <cell r="D98">
            <v>43922</v>
          </cell>
          <cell r="E98">
            <v>44469</v>
          </cell>
          <cell r="F98" t="str">
            <v>alex.diaz@i3i.es</v>
          </cell>
          <cell r="G98" t="str">
            <v>Automoción y mecatrónica</v>
          </cell>
          <cell r="H98" t="str">
            <v>Automoción y mecatrónica</v>
          </cell>
          <cell r="I98" t="str">
            <v>Tic</v>
          </cell>
          <cell r="J98" t="str">
            <v>Tic</v>
          </cell>
          <cell r="K98" t="str">
            <v>Disminución del consumo de energías fósiles</v>
          </cell>
          <cell r="L98" t="str">
            <v>Disminución del consumo de energías fósiles</v>
          </cell>
          <cell r="M98" t="str">
            <v>Empresa</v>
          </cell>
          <cell r="N98" t="str">
            <v>Empresa</v>
          </cell>
          <cell r="O98" t="str">
            <v>Pequeña</v>
          </cell>
          <cell r="P98" t="str">
            <v>Pequeña</v>
          </cell>
          <cell r="Q98" t="str">
            <v>Individual</v>
          </cell>
          <cell r="R98" t="str">
            <v>Individual</v>
          </cell>
          <cell r="S98" t="str">
            <v>SI</v>
          </cell>
          <cell r="T98" t="str">
            <v>SI</v>
          </cell>
          <cell r="U98" t="str">
            <v>00053180 / 00053181 / 00053182</v>
          </cell>
          <cell r="V98" t="str">
            <v>NO</v>
          </cell>
          <cell r="W98" t="str">
            <v>NO</v>
          </cell>
          <cell r="Z98" t="str">
            <v>No, no tenemos intención de patentar</v>
          </cell>
          <cell r="AA98" t="str">
            <v>No, no tenemos intención de patentar</v>
          </cell>
          <cell r="AB98" t="str">
            <v>No, no tenemos prevista publicación</v>
          </cell>
          <cell r="AC98" t="str">
            <v>No, no tenemos prevista publicación</v>
          </cell>
          <cell r="AD98" t="str">
            <v>False</v>
          </cell>
        </row>
        <row r="99">
          <cell r="A99" t="str">
            <v>0011-1365-2020-000098</v>
          </cell>
          <cell r="B99" t="str">
            <v>NUEVOS COMPUESTOS BIOACTIVOS DE ALTO VALOR (MEJORANTES)</v>
          </cell>
          <cell r="C99">
            <v>95374.2</v>
          </cell>
          <cell r="D99">
            <v>43922</v>
          </cell>
          <cell r="E99">
            <v>44651</v>
          </cell>
          <cell r="F99" t="str">
            <v>financiero@harivasa.com</v>
          </cell>
          <cell r="G99" t="str">
            <v>Cadena alimentaria</v>
          </cell>
          <cell r="H99" t="str">
            <v>Cadena alimentaria</v>
          </cell>
          <cell r="I99" t="str">
            <v>Biotecnología</v>
          </cell>
          <cell r="J99" t="str">
            <v>Biotecnología</v>
          </cell>
          <cell r="K99" t="str">
            <v>Apuesta por la alimentación saludable</v>
          </cell>
          <cell r="L99" t="str">
            <v>Apuesta por la alimentación saludable</v>
          </cell>
          <cell r="M99" t="str">
            <v>Empresa</v>
          </cell>
          <cell r="N99" t="str">
            <v>Empresa</v>
          </cell>
          <cell r="O99" t="str">
            <v>Grande</v>
          </cell>
          <cell r="P99" t="str">
            <v>Grande</v>
          </cell>
          <cell r="Q99" t="str">
            <v>Individual</v>
          </cell>
          <cell r="R99" t="str">
            <v>Individual</v>
          </cell>
          <cell r="S99" t="str">
            <v>NO</v>
          </cell>
          <cell r="T99" t="str">
            <v>NO</v>
          </cell>
          <cell r="U99" t="str">
            <v>no procede</v>
          </cell>
          <cell r="V99" t="str">
            <v>NO</v>
          </cell>
          <cell r="W99" t="str">
            <v>NO</v>
          </cell>
          <cell r="Z99" t="str">
            <v>No, no tenemos intención de patentar</v>
          </cell>
          <cell r="AA99" t="str">
            <v>No, no tenemos intención de patentar</v>
          </cell>
          <cell r="AB99" t="str">
            <v>No, no tenemos prevista publicación</v>
          </cell>
          <cell r="AC99" t="str">
            <v>No, no tenemos prevista publicación</v>
          </cell>
          <cell r="AD99" t="str">
            <v>False</v>
          </cell>
        </row>
        <row r="100">
          <cell r="A100" t="str">
            <v>0011-1365-2020-000099</v>
          </cell>
          <cell r="B100" t="str">
            <v>Investigación de nuevos métodos de Predicción de Demanda para el sector automoción (Pred-Dem)</v>
          </cell>
          <cell r="C100">
            <v>172943</v>
          </cell>
          <cell r="D100">
            <v>43922</v>
          </cell>
          <cell r="E100">
            <v>44651</v>
          </cell>
          <cell r="F100" t="str">
            <v>aursua@ain.es</v>
          </cell>
          <cell r="G100" t="str">
            <v>Automoción y mecatrónica</v>
          </cell>
          <cell r="H100" t="str">
            <v>Automoción y mecatrónica</v>
          </cell>
          <cell r="I100" t="str">
            <v>Manufactura avanzada</v>
          </cell>
          <cell r="J100" t="str">
            <v>Manufactura avanzada</v>
          </cell>
          <cell r="K100" t="str">
            <v>Transformación 4.0 de la industria navarra</v>
          </cell>
          <cell r="L100" t="str">
            <v>Transformación 4.0 de la industria navarra</v>
          </cell>
          <cell r="M100" t="str">
            <v>Organismo de investigación</v>
          </cell>
          <cell r="N100" t="str">
            <v>Organismo de investigación</v>
          </cell>
          <cell r="O100" t="str">
            <v>Organismo de investigación</v>
          </cell>
          <cell r="P100" t="str">
            <v>Organismo de investigación</v>
          </cell>
          <cell r="Q100" t="str">
            <v>Transferencia del conocimiento</v>
          </cell>
          <cell r="R100" t="str">
            <v>Transferencia del conocimiento</v>
          </cell>
          <cell r="S100" t="str">
            <v>SI</v>
          </cell>
          <cell r="T100" t="str">
            <v>SI</v>
          </cell>
          <cell r="V100" t="str">
            <v>NO</v>
          </cell>
          <cell r="W100" t="str">
            <v>NO</v>
          </cell>
          <cell r="Z100" t="str">
            <v>No, no tenemos intención de patentar</v>
          </cell>
          <cell r="AA100" t="str">
            <v>No, no tenemos intención de patentar</v>
          </cell>
          <cell r="AB100" t="str">
            <v>Sí, la publicación prevista es en revista científica</v>
          </cell>
          <cell r="AC100" t="str">
            <v>Sí, la publicación prevista es en revista científica</v>
          </cell>
          <cell r="AD100" t="str">
            <v>False</v>
          </cell>
        </row>
        <row r="101">
          <cell r="A101" t="str">
            <v>0011-1365-2020-000100</v>
          </cell>
          <cell r="B101" t="str">
            <v>Diseño y desarrollo de una máquina universal de inspección integral de envases no posicionados</v>
          </cell>
          <cell r="C101">
            <v>135800</v>
          </cell>
          <cell r="D101">
            <v>43922</v>
          </cell>
          <cell r="E101">
            <v>44286</v>
          </cell>
          <cell r="F101" t="str">
            <v>aferrer@visionquality.es</v>
          </cell>
          <cell r="G101" t="str">
            <v>Automoción y mecatrónica</v>
          </cell>
          <cell r="H101" t="str">
            <v>Automoción y mecatrónica</v>
          </cell>
          <cell r="I101" t="str">
            <v>Manufactura avanzada</v>
          </cell>
          <cell r="J101" t="str">
            <v>Manufactura avanzada</v>
          </cell>
          <cell r="K101" t="str">
            <v>Transformación 4.0 de la industria navarra</v>
          </cell>
          <cell r="L101" t="str">
            <v>Transformación 4.0 de la industria navarra</v>
          </cell>
          <cell r="M101" t="str">
            <v>Empresa</v>
          </cell>
          <cell r="N101" t="str">
            <v>Empresa</v>
          </cell>
          <cell r="O101" t="str">
            <v>Pequeña</v>
          </cell>
          <cell r="P101" t="str">
            <v>Pequeña</v>
          </cell>
          <cell r="Q101" t="str">
            <v>Individual</v>
          </cell>
          <cell r="R101" t="str">
            <v>Individual</v>
          </cell>
          <cell r="S101" t="str">
            <v>SI</v>
          </cell>
          <cell r="T101" t="str">
            <v>SI</v>
          </cell>
          <cell r="V101" t="str">
            <v>NO</v>
          </cell>
          <cell r="W101" t="str">
            <v>NO</v>
          </cell>
          <cell r="Z101" t="str">
            <v>Sí, la patente prevista es europea</v>
          </cell>
          <cell r="AA101" t="str">
            <v>Sí, la patente prevista es europea</v>
          </cell>
          <cell r="AB101" t="str">
            <v>No, no tenemos prevista publicación</v>
          </cell>
          <cell r="AC101" t="str">
            <v>No, no tenemos prevista publicación</v>
          </cell>
          <cell r="AD101" t="str">
            <v>False</v>
          </cell>
        </row>
        <row r="102">
          <cell r="A102" t="str">
            <v>0011-1365-2020-000101</v>
          </cell>
          <cell r="B102" t="str">
            <v>HYDRO-CLEAN-2.0 “Desarrollo de un sistema hidrodinámico para el tratamiento de aguas pluviales mediante separación deflectiva continua”.</v>
          </cell>
          <cell r="C102">
            <v>278662</v>
          </cell>
          <cell r="D102">
            <v>43922</v>
          </cell>
          <cell r="E102">
            <v>44651</v>
          </cell>
          <cell r="F102" t="str">
            <v>anaayesa@hidrostank.com</v>
          </cell>
          <cell r="G102" t="str">
            <v>Energías renovables y recursos</v>
          </cell>
          <cell r="H102" t="str">
            <v>Energías renovables y recursos</v>
          </cell>
          <cell r="I102" t="str">
            <v>Manufactura avanzada</v>
          </cell>
          <cell r="J102" t="str">
            <v>Manufactura avanzada</v>
          </cell>
          <cell r="K102" t="str">
            <v>Promover la economía circular</v>
          </cell>
          <cell r="L102" t="str">
            <v>Promover la economía circular</v>
          </cell>
          <cell r="M102" t="str">
            <v>Empresa</v>
          </cell>
          <cell r="N102" t="str">
            <v>Empresa</v>
          </cell>
          <cell r="O102" t="str">
            <v>Pequeña</v>
          </cell>
          <cell r="P102" t="str">
            <v>Pequeña</v>
          </cell>
          <cell r="Q102" t="str">
            <v>Individual</v>
          </cell>
          <cell r="R102" t="str">
            <v>Individual</v>
          </cell>
          <cell r="S102" t="str">
            <v>SI</v>
          </cell>
          <cell r="T102" t="str">
            <v>SI</v>
          </cell>
          <cell r="V102" t="str">
            <v>NO</v>
          </cell>
          <cell r="W102" t="str">
            <v>NO</v>
          </cell>
          <cell r="Z102" t="str">
            <v>Sí, la patente prevista es europea</v>
          </cell>
          <cell r="AA102" t="str">
            <v>Sí, la patente prevista es europea</v>
          </cell>
          <cell r="AB102" t="str">
            <v>No, no tenemos prevista publicación</v>
          </cell>
          <cell r="AC102" t="str">
            <v>No, no tenemos prevista publicación</v>
          </cell>
          <cell r="AD102" t="str">
            <v>False</v>
          </cell>
        </row>
        <row r="103">
          <cell r="A103" t="str">
            <v>0011-1365-2020-000102</v>
          </cell>
          <cell r="B103" t="str">
            <v>PLACAS AISLANTES DE ECONOMÍA CIRCULAR-PLACIR</v>
          </cell>
          <cell r="C103">
            <v>173203</v>
          </cell>
          <cell r="D103">
            <v>43922</v>
          </cell>
          <cell r="E103">
            <v>44651</v>
          </cell>
          <cell r="F103" t="str">
            <v>info@aislantesaislanat.es</v>
          </cell>
          <cell r="G103" t="str">
            <v>Energías renovables y recursos</v>
          </cell>
          <cell r="H103" t="str">
            <v>Energías renovables y recursos</v>
          </cell>
          <cell r="I103" t="str">
            <v>Otros</v>
          </cell>
          <cell r="J103" t="str">
            <v>Otros</v>
          </cell>
          <cell r="K103" t="str">
            <v>Promover la economía circular</v>
          </cell>
          <cell r="L103" t="str">
            <v>Promover la economía circular</v>
          </cell>
          <cell r="M103" t="str">
            <v>Empresa</v>
          </cell>
          <cell r="N103" t="str">
            <v>Empresa</v>
          </cell>
          <cell r="O103" t="str">
            <v>Pequeña</v>
          </cell>
          <cell r="P103" t="str">
            <v>Pequeña</v>
          </cell>
          <cell r="Q103" t="str">
            <v>Transferencia del conocimiento</v>
          </cell>
          <cell r="R103" t="str">
            <v>Transferencia del conocimiento</v>
          </cell>
          <cell r="T103" t="str">
            <v>Seleccionar...</v>
          </cell>
          <cell r="V103" t="str">
            <v>NO</v>
          </cell>
          <cell r="W103" t="str">
            <v>NO</v>
          </cell>
          <cell r="Z103" t="str">
            <v>No, no tenemos intención de patentar</v>
          </cell>
          <cell r="AA103" t="str">
            <v>No, no tenemos intención de patentar</v>
          </cell>
          <cell r="AB103" t="str">
            <v>Sí, la publicación prevista es en revista científica q1</v>
          </cell>
          <cell r="AC103" t="str">
            <v>Sí, la publicación prevista es en revista científica q1</v>
          </cell>
          <cell r="AD103" t="str">
            <v>False</v>
          </cell>
        </row>
        <row r="104">
          <cell r="A104" t="str">
            <v>0011-1365-2020-000103</v>
          </cell>
          <cell r="B104" t="str">
            <v>Nuevas estrategias para reducir la incidencia de patulina en manzana y membrillo ecológicos destinados a alimentación infantil</v>
          </cell>
          <cell r="C104">
            <v>63317</v>
          </cell>
          <cell r="D104">
            <v>44013</v>
          </cell>
          <cell r="E104">
            <v>44651</v>
          </cell>
          <cell r="F104" t="str">
            <v>fatima@iberfruta.es</v>
          </cell>
          <cell r="G104" t="str">
            <v>Cadena alimentaria</v>
          </cell>
          <cell r="H104" t="str">
            <v>Cadena alimentaria</v>
          </cell>
          <cell r="I104" t="str">
            <v>Otros</v>
          </cell>
          <cell r="J104" t="str">
            <v>Otros</v>
          </cell>
          <cell r="K104" t="str">
            <v>Apuesta por la alimentación saludable</v>
          </cell>
          <cell r="L104" t="str">
            <v>Apuesta por la alimentación saludable</v>
          </cell>
          <cell r="M104" t="str">
            <v>Empresa</v>
          </cell>
          <cell r="N104" t="str">
            <v>Empresa</v>
          </cell>
          <cell r="O104" t="str">
            <v>Grande</v>
          </cell>
          <cell r="P104" t="str">
            <v>Grande</v>
          </cell>
          <cell r="Q104" t="str">
            <v>Individual</v>
          </cell>
          <cell r="R104" t="str">
            <v>Individual</v>
          </cell>
          <cell r="S104" t="str">
            <v>NO</v>
          </cell>
          <cell r="T104" t="str">
            <v>NO</v>
          </cell>
          <cell r="U104" t="str">
            <v>no le aplica</v>
          </cell>
          <cell r="V104" t="str">
            <v>NO</v>
          </cell>
          <cell r="W104" t="str">
            <v>NO</v>
          </cell>
          <cell r="Z104" t="str">
            <v>No, no tenemos intención de patentar</v>
          </cell>
          <cell r="AA104" t="str">
            <v>No, no tenemos intención de patentar</v>
          </cell>
          <cell r="AB104" t="str">
            <v>No, no tenemos prevista publicación</v>
          </cell>
          <cell r="AC104" t="str">
            <v>No, no tenemos prevista publicación</v>
          </cell>
          <cell r="AD104" t="str">
            <v>False</v>
          </cell>
        </row>
        <row r="105">
          <cell r="A105" t="str">
            <v>0011-1365-2020-000104</v>
          </cell>
          <cell r="B105" t="str">
            <v>FORRAJES ALTOPROTEÍCOS PARA MERCADO INTERNACIONAL – FOHIPRO</v>
          </cell>
          <cell r="C105">
            <v>142500</v>
          </cell>
          <cell r="D105">
            <v>43922</v>
          </cell>
          <cell r="E105">
            <v>44651</v>
          </cell>
          <cell r="F105" t="str">
            <v>administracion@nafosa.es;javier.sadaba@nafosa.es</v>
          </cell>
          <cell r="G105" t="str">
            <v>Cadena alimentaria</v>
          </cell>
          <cell r="H105" t="str">
            <v>Cadena alimentaria</v>
          </cell>
          <cell r="I105" t="str">
            <v>Manufactura avanzada</v>
          </cell>
          <cell r="J105" t="str">
            <v>Manufactura avanzada</v>
          </cell>
          <cell r="K105" t="str">
            <v>Transformación 4.0 de la industria navarra</v>
          </cell>
          <cell r="L105" t="str">
            <v>Transformación 4.0 de la industria navarra</v>
          </cell>
          <cell r="M105" t="str">
            <v>Empresa</v>
          </cell>
          <cell r="N105" t="str">
            <v>Empresa</v>
          </cell>
          <cell r="O105" t="str">
            <v>Grande</v>
          </cell>
          <cell r="P105" t="str">
            <v>Grande</v>
          </cell>
          <cell r="Q105" t="str">
            <v>Transferencia del conocimiento</v>
          </cell>
          <cell r="R105" t="str">
            <v>Transferencia del conocimiento</v>
          </cell>
          <cell r="S105" t="str">
            <v>SI</v>
          </cell>
          <cell r="T105" t="str">
            <v>SI</v>
          </cell>
          <cell r="U105" t="str">
            <v>15-A-109-00041331</v>
          </cell>
          <cell r="V105" t="str">
            <v>NO</v>
          </cell>
          <cell r="W105" t="str">
            <v>NO</v>
          </cell>
          <cell r="Z105" t="str">
            <v>No, no tenemos intención de patentar</v>
          </cell>
          <cell r="AA105" t="str">
            <v>No, no tenemos intención de patentar</v>
          </cell>
          <cell r="AB105" t="str">
            <v>Sí, la publicación prevista es en revista científica q1</v>
          </cell>
          <cell r="AC105" t="str">
            <v>Sí, la publicación prevista es en revista científica q1</v>
          </cell>
          <cell r="AD105" t="str">
            <v>False</v>
          </cell>
        </row>
        <row r="106">
          <cell r="A106" t="str">
            <v>0011-1365-2020-000105</v>
          </cell>
          <cell r="B106" t="str">
            <v>PLACAS AISLANTES DE ECONOMÍA CIRCULAR-PLACIR</v>
          </cell>
          <cell r="C106">
            <v>78732.5</v>
          </cell>
          <cell r="D106">
            <v>43922</v>
          </cell>
          <cell r="E106">
            <v>44651</v>
          </cell>
          <cell r="F106" t="str">
            <v>antonio.castilla@calidadpascual.com</v>
          </cell>
          <cell r="G106" t="str">
            <v>Energías renovables y recursos</v>
          </cell>
          <cell r="H106" t="str">
            <v>Energías renovables y recursos</v>
          </cell>
          <cell r="I106" t="str">
            <v>Otros</v>
          </cell>
          <cell r="J106" t="str">
            <v>Otros</v>
          </cell>
          <cell r="K106" t="str">
            <v>Promover la economía circular</v>
          </cell>
          <cell r="L106" t="str">
            <v>Promover la economía circular</v>
          </cell>
          <cell r="M106" t="str">
            <v>Empresa</v>
          </cell>
          <cell r="N106" t="str">
            <v>Empresa</v>
          </cell>
          <cell r="O106" t="str">
            <v>Grande</v>
          </cell>
          <cell r="P106" t="str">
            <v>Grande</v>
          </cell>
          <cell r="Q106" t="str">
            <v>Transferencia del conocimiento</v>
          </cell>
          <cell r="R106" t="str">
            <v>Transferencia del conocimiento</v>
          </cell>
          <cell r="S106" t="str">
            <v>SI</v>
          </cell>
          <cell r="T106" t="str">
            <v>SI</v>
          </cell>
          <cell r="V106" t="str">
            <v>NO</v>
          </cell>
          <cell r="W106" t="str">
            <v>NO</v>
          </cell>
          <cell r="Z106" t="str">
            <v>No, no tenemos intención de patentar</v>
          </cell>
          <cell r="AA106" t="str">
            <v>No, no tenemos intención de patentar</v>
          </cell>
          <cell r="AB106" t="str">
            <v>Sí, la publicación prevista es en revista científica q1</v>
          </cell>
          <cell r="AC106" t="str">
            <v>Sí, la publicación prevista es en revista científica q1</v>
          </cell>
          <cell r="AD106" t="str">
            <v>False</v>
          </cell>
        </row>
        <row r="107">
          <cell r="A107" t="str">
            <v>0011-1365-2020-000106</v>
          </cell>
          <cell r="B107" t="str">
            <v>Nuevas estrategias para obtener plantas injertadas de vid de claidad superior (BEST-FGEET)</v>
          </cell>
          <cell r="C107">
            <v>76114.899999999994</v>
          </cell>
          <cell r="D107">
            <v>43922</v>
          </cell>
          <cell r="E107">
            <v>44651</v>
          </cell>
          <cell r="F107" t="str">
            <v>INFO@VINAEBRO.COM</v>
          </cell>
          <cell r="G107" t="str">
            <v>Cadena alimentaria</v>
          </cell>
          <cell r="H107" t="str">
            <v>Cadena alimentaria</v>
          </cell>
          <cell r="I107" t="str">
            <v>Biotecnología</v>
          </cell>
          <cell r="J107" t="str">
            <v>Biotecnología</v>
          </cell>
          <cell r="K107" t="str">
            <v>Vertebrar la cadena de valor alimentaria</v>
          </cell>
          <cell r="L107" t="str">
            <v>Vertebrar la cadena de valor alimentaria</v>
          </cell>
          <cell r="M107" t="str">
            <v>Empresa</v>
          </cell>
          <cell r="N107" t="str">
            <v>Empresa</v>
          </cell>
          <cell r="O107" t="str">
            <v>Pequeña</v>
          </cell>
          <cell r="P107" t="str">
            <v>Pequeña</v>
          </cell>
          <cell r="Q107" t="str">
            <v>Transferencia del conocimiento</v>
          </cell>
          <cell r="R107" t="str">
            <v>Transferencia del conocimiento</v>
          </cell>
          <cell r="S107" t="str">
            <v>NO</v>
          </cell>
          <cell r="T107" t="str">
            <v>NO</v>
          </cell>
          <cell r="V107" t="str">
            <v>NO</v>
          </cell>
          <cell r="W107" t="str">
            <v>NO</v>
          </cell>
          <cell r="Z107" t="str">
            <v>No, no tenemos intención de patentar</v>
          </cell>
          <cell r="AA107" t="str">
            <v>No, no tenemos intención de patentar</v>
          </cell>
          <cell r="AB107" t="str">
            <v>No, no tenemos prevista publicación</v>
          </cell>
          <cell r="AC107" t="str">
            <v>No, no tenemos prevista publicación</v>
          </cell>
          <cell r="AD107" t="str">
            <v>False</v>
          </cell>
        </row>
        <row r="108">
          <cell r="A108" t="str">
            <v>0011-1365-2020-000107</v>
          </cell>
          <cell r="B108" t="str">
            <v>INVESTIGACIÓN DE PRODUCTOS Y PROCESOS INDUSTRIALES PARA IMPRESIÓN PERSONALIZADA DE MATERIALES DESTINADOS A LA DECORACIÓN DE ESPACIOS</v>
          </cell>
          <cell r="C108">
            <v>410340.7</v>
          </cell>
          <cell r="D108">
            <v>43922</v>
          </cell>
          <cell r="E108">
            <v>44651</v>
          </cell>
          <cell r="F108" t="str">
            <v>info@mobeduc.com</v>
          </cell>
          <cell r="G108" t="str">
            <v>Industrias creativas y digitales</v>
          </cell>
          <cell r="H108" t="str">
            <v>Industrias creativas y digitales</v>
          </cell>
          <cell r="I108" t="str">
            <v>Manufactura avanzada</v>
          </cell>
          <cell r="J108" t="str">
            <v>Manufactura avanzada</v>
          </cell>
          <cell r="K108" t="str">
            <v>Industrias creativas y digitales</v>
          </cell>
          <cell r="L108" t="str">
            <v>Industrias creativas y digitales</v>
          </cell>
          <cell r="M108" t="str">
            <v>Empresa</v>
          </cell>
          <cell r="N108" t="str">
            <v>Empresa</v>
          </cell>
          <cell r="O108" t="str">
            <v>Pequeña</v>
          </cell>
          <cell r="P108" t="str">
            <v>Pequeña</v>
          </cell>
          <cell r="Q108" t="str">
            <v>Individual</v>
          </cell>
          <cell r="R108" t="str">
            <v>Individual</v>
          </cell>
          <cell r="S108" t="str">
            <v>NO</v>
          </cell>
          <cell r="T108" t="str">
            <v>NO</v>
          </cell>
          <cell r="U108" t="str">
            <v>NO PROCEDE</v>
          </cell>
          <cell r="V108" t="str">
            <v>NO</v>
          </cell>
          <cell r="W108" t="str">
            <v>NO</v>
          </cell>
          <cell r="Z108" t="str">
            <v>No, no tenemos intención de patentar</v>
          </cell>
          <cell r="AA108" t="str">
            <v>No, no tenemos intención de patentar</v>
          </cell>
          <cell r="AB108" t="str">
            <v>No, no tenemos prevista publicación</v>
          </cell>
          <cell r="AC108" t="str">
            <v>No, no tenemos prevista publicación</v>
          </cell>
          <cell r="AD108" t="str">
            <v>False</v>
          </cell>
        </row>
        <row r="109">
          <cell r="A109" t="str">
            <v>0011-1365-2020-000108</v>
          </cell>
          <cell r="B109" t="str">
            <v>COOK CHAIN</v>
          </cell>
          <cell r="C109">
            <v>137700</v>
          </cell>
          <cell r="D109">
            <v>43922</v>
          </cell>
          <cell r="E109">
            <v>44651</v>
          </cell>
          <cell r="F109" t="str">
            <v>david@consultoriaadhoc.com</v>
          </cell>
          <cell r="G109" t="str">
            <v>Cadena alimentaria</v>
          </cell>
          <cell r="H109" t="str">
            <v>Cadena alimentaria</v>
          </cell>
          <cell r="I109" t="str">
            <v>Tic</v>
          </cell>
          <cell r="J109" t="str">
            <v>Tic</v>
          </cell>
          <cell r="K109" t="str">
            <v>Vertebrar la cadena de valor alimentaria</v>
          </cell>
          <cell r="L109" t="str">
            <v>Vertebrar la cadena de valor alimentaria</v>
          </cell>
          <cell r="M109" t="str">
            <v>Empresa</v>
          </cell>
          <cell r="N109" t="str">
            <v>Empresa</v>
          </cell>
          <cell r="O109" t="str">
            <v>Pequeña</v>
          </cell>
          <cell r="P109" t="str">
            <v>Pequeña</v>
          </cell>
          <cell r="Q109" t="str">
            <v>Individual</v>
          </cell>
          <cell r="R109" t="str">
            <v>Individual</v>
          </cell>
          <cell r="S109" t="str">
            <v>SI</v>
          </cell>
          <cell r="T109" t="str">
            <v>SI</v>
          </cell>
          <cell r="V109" t="str">
            <v>NO</v>
          </cell>
          <cell r="W109" t="str">
            <v>NO</v>
          </cell>
          <cell r="Z109" t="str">
            <v>No, no tenemos intención de patentar</v>
          </cell>
          <cell r="AA109" t="str">
            <v>No, no tenemos intención de patentar</v>
          </cell>
          <cell r="AB109" t="str">
            <v>No, no tenemos prevista publicación</v>
          </cell>
          <cell r="AC109" t="str">
            <v>No, no tenemos prevista publicación</v>
          </cell>
          <cell r="AD109" t="str">
            <v>True</v>
          </cell>
        </row>
        <row r="110">
          <cell r="A110" t="str">
            <v>0011-1365-2020-000109</v>
          </cell>
          <cell r="B110" t="str">
            <v>Espacios libres de insectos basados en componentes de hormigón (BLOCKADE 2.0).</v>
          </cell>
          <cell r="C110">
            <v>481615</v>
          </cell>
          <cell r="D110">
            <v>43922</v>
          </cell>
          <cell r="E110">
            <v>44651</v>
          </cell>
          <cell r="F110" t="str">
            <v>notificaciones@pvt.es</v>
          </cell>
          <cell r="G110" t="str">
            <v>Energías renovables y recursos</v>
          </cell>
          <cell r="H110" t="str">
            <v>Energías renovables y recursos</v>
          </cell>
          <cell r="I110" t="str">
            <v>Manufactura avanzada</v>
          </cell>
          <cell r="J110" t="str">
            <v>Manufactura avanzada</v>
          </cell>
          <cell r="K110" t="str">
            <v>Promover la economía circular</v>
          </cell>
          <cell r="L110" t="str">
            <v>Promover la economía circular</v>
          </cell>
          <cell r="M110" t="str">
            <v>Empresa</v>
          </cell>
          <cell r="N110" t="str">
            <v>Empresa</v>
          </cell>
          <cell r="O110" t="str">
            <v>Pequeña</v>
          </cell>
          <cell r="P110" t="str">
            <v>Pequeña</v>
          </cell>
          <cell r="Q110" t="str">
            <v>Transferencia del conocimiento</v>
          </cell>
          <cell r="R110" t="str">
            <v>Transferencia del conocimiento</v>
          </cell>
          <cell r="S110" t="str">
            <v>SI</v>
          </cell>
          <cell r="T110" t="str">
            <v>SI</v>
          </cell>
          <cell r="V110" t="str">
            <v>NO</v>
          </cell>
          <cell r="W110" t="str">
            <v>NO</v>
          </cell>
          <cell r="Z110" t="str">
            <v>Sí, la patente prevista es europea</v>
          </cell>
          <cell r="AA110" t="str">
            <v>Sí, la patente prevista es europea</v>
          </cell>
          <cell r="AB110" t="str">
            <v>Sí, la publicación prevista es en revista científica q1</v>
          </cell>
          <cell r="AC110" t="str">
            <v>Sí, la publicación prevista es en revista científica q1</v>
          </cell>
          <cell r="AD110" t="str">
            <v>False</v>
          </cell>
        </row>
        <row r="111">
          <cell r="A111" t="str">
            <v>0011-1365-2020-000110</v>
          </cell>
          <cell r="B111" t="str">
            <v>i-GloveRehab: Sistema inteligente de evaluación y rehabilitación personalizada de la mano</v>
          </cell>
          <cell r="C111">
            <v>81119</v>
          </cell>
          <cell r="D111">
            <v>44105</v>
          </cell>
          <cell r="E111">
            <v>44651</v>
          </cell>
          <cell r="F111" t="str">
            <v>francisco@adacen.org</v>
          </cell>
          <cell r="G111" t="str">
            <v>Salud</v>
          </cell>
          <cell r="H111" t="str">
            <v>Salud</v>
          </cell>
          <cell r="I111" t="str">
            <v>Tic</v>
          </cell>
          <cell r="J111" t="str">
            <v>Tic</v>
          </cell>
          <cell r="K111" t="str">
            <v>Aumento de la eficiencia de los servicios sanitarios</v>
          </cell>
          <cell r="L111" t="str">
            <v>Aumento de la eficiencia de los servicios sanitarios</v>
          </cell>
          <cell r="M111" t="str">
            <v>Empresa</v>
          </cell>
          <cell r="N111" t="str">
            <v>Empresa</v>
          </cell>
          <cell r="O111" t="str">
            <v>Pequeña</v>
          </cell>
          <cell r="P111" t="str">
            <v>Pequeña</v>
          </cell>
          <cell r="Q111" t="str">
            <v>Transferencia del conocimiento</v>
          </cell>
          <cell r="R111" t="str">
            <v>Transferencia del conocimiento</v>
          </cell>
          <cell r="T111" t="str">
            <v>Seleccionar...</v>
          </cell>
          <cell r="U111" t="str">
            <v>ENTIDAD SIN ANIMO DE LUCRO</v>
          </cell>
          <cell r="V111" t="str">
            <v>NO</v>
          </cell>
          <cell r="W111" t="str">
            <v>NO</v>
          </cell>
          <cell r="Z111" t="str">
            <v>No, no tenemos intención de patentar</v>
          </cell>
          <cell r="AA111" t="str">
            <v>No, no tenemos intención de patentar</v>
          </cell>
          <cell r="AB111" t="str">
            <v>Sí, la publicación prevista es en revista científica q1</v>
          </cell>
          <cell r="AC111" t="str">
            <v>Sí, la publicación prevista es en revista científica q1</v>
          </cell>
          <cell r="AD111" t="str">
            <v>False</v>
          </cell>
        </row>
        <row r="112">
          <cell r="A112" t="str">
            <v>0011-1365-2020-000111</v>
          </cell>
          <cell r="B112" t="str">
            <v>Desarrollo Acabados Microfibras y Textiles Industria del Calzado</v>
          </cell>
          <cell r="C112">
            <v>366248</v>
          </cell>
          <cell r="D112">
            <v>43922</v>
          </cell>
          <cell r="E112">
            <v>44408</v>
          </cell>
          <cell r="F112" t="str">
            <v>ar@arneplant.com</v>
          </cell>
          <cell r="G112" t="str">
            <v>Otros</v>
          </cell>
          <cell r="H112" t="str">
            <v>Otros</v>
          </cell>
          <cell r="I112" t="str">
            <v>Otros</v>
          </cell>
          <cell r="J112" t="str">
            <v>Otros</v>
          </cell>
          <cell r="K112" t="str">
            <v>Otros</v>
          </cell>
          <cell r="L112" t="str">
            <v>Otros</v>
          </cell>
          <cell r="M112" t="str">
            <v>Empresa</v>
          </cell>
          <cell r="N112" t="str">
            <v>Empresa</v>
          </cell>
          <cell r="O112" t="str">
            <v>Pequeña</v>
          </cell>
          <cell r="P112" t="str">
            <v>Pequeña</v>
          </cell>
          <cell r="Q112" t="str">
            <v>Individual</v>
          </cell>
          <cell r="R112" t="str">
            <v>Individual</v>
          </cell>
          <cell r="S112" t="str">
            <v>NO</v>
          </cell>
          <cell r="T112" t="str">
            <v>NO</v>
          </cell>
          <cell r="U112" t="str">
            <v>Empresa constituida en diciembre 2019</v>
          </cell>
          <cell r="V112" t="str">
            <v>NO</v>
          </cell>
          <cell r="W112" t="str">
            <v>NO</v>
          </cell>
          <cell r="Z112" t="str">
            <v>No, no tenemos intención de patentar</v>
          </cell>
          <cell r="AA112" t="str">
            <v>No, no tenemos intención de patentar</v>
          </cell>
          <cell r="AB112" t="str">
            <v>No, no tenemos prevista publicación</v>
          </cell>
          <cell r="AC112" t="str">
            <v>No, no tenemos prevista publicación</v>
          </cell>
          <cell r="AD112" t="str">
            <v>False</v>
          </cell>
        </row>
        <row r="113">
          <cell r="A113" t="str">
            <v>0011-1365-2020-000112</v>
          </cell>
          <cell r="B113" t="str">
            <v>Economia circular en fundicion de aluminio. Desarrollo de una nueva aleación de base reciclada CIRCAL</v>
          </cell>
          <cell r="C113">
            <v>229248</v>
          </cell>
          <cell r="D113">
            <v>43922</v>
          </cell>
          <cell r="E113">
            <v>44651</v>
          </cell>
          <cell r="F113" t="str">
            <v>jsarnago@mecacontrol.com</v>
          </cell>
          <cell r="G113" t="str">
            <v>Energías renovables y recursos</v>
          </cell>
          <cell r="H113" t="str">
            <v>Energías renovables y recursos</v>
          </cell>
          <cell r="I113" t="str">
            <v>Otros</v>
          </cell>
          <cell r="J113" t="str">
            <v>Otros</v>
          </cell>
          <cell r="K113" t="str">
            <v>Promover la economía circular</v>
          </cell>
          <cell r="L113" t="str">
            <v>Promover la economía circular</v>
          </cell>
          <cell r="M113" t="str">
            <v>Empresa</v>
          </cell>
          <cell r="N113" t="str">
            <v>Empresa</v>
          </cell>
          <cell r="O113" t="str">
            <v>Mediana</v>
          </cell>
          <cell r="P113" t="str">
            <v>Mediana</v>
          </cell>
          <cell r="Q113" t="str">
            <v>Cooperativo</v>
          </cell>
          <cell r="R113" t="str">
            <v>Cooperativo</v>
          </cell>
          <cell r="S113" t="str">
            <v>SI</v>
          </cell>
          <cell r="T113" t="str">
            <v>SI</v>
          </cell>
          <cell r="V113" t="str">
            <v>NO</v>
          </cell>
          <cell r="W113" t="str">
            <v>NO</v>
          </cell>
          <cell r="Z113" t="str">
            <v>No, no tenemos intención de patentar</v>
          </cell>
          <cell r="AA113" t="str">
            <v>No, no tenemos intención de patentar</v>
          </cell>
          <cell r="AB113" t="str">
            <v>No, no tenemos prevista publicación</v>
          </cell>
          <cell r="AC113" t="str">
            <v>No, no tenemos prevista publicación</v>
          </cell>
          <cell r="AD113" t="str">
            <v>False</v>
          </cell>
        </row>
        <row r="114">
          <cell r="A114" t="str">
            <v>0011-1365-2020-000113</v>
          </cell>
          <cell r="B114" t="str">
            <v>Valorización de subproductos de refino físico del aceite de oliva: desarrollo</v>
          </cell>
          <cell r="C114">
            <v>173002</v>
          </cell>
          <cell r="D114">
            <v>43922</v>
          </cell>
          <cell r="E114">
            <v>44651</v>
          </cell>
          <cell r="F114" t="str">
            <v>aursua@ain.es</v>
          </cell>
          <cell r="G114" t="str">
            <v>Cadena alimentaria</v>
          </cell>
          <cell r="H114" t="str">
            <v>Cadena alimentaria</v>
          </cell>
          <cell r="I114" t="str">
            <v>Biotecnología</v>
          </cell>
          <cell r="J114" t="str">
            <v>Biotecnología</v>
          </cell>
          <cell r="K114" t="str">
            <v>Promover la economía circular</v>
          </cell>
          <cell r="L114" t="str">
            <v>Promover la economía circular</v>
          </cell>
          <cell r="M114" t="str">
            <v>Organismo de investigación</v>
          </cell>
          <cell r="N114" t="str">
            <v>Organismo de investigación</v>
          </cell>
          <cell r="O114" t="str">
            <v>Organismo de investigación</v>
          </cell>
          <cell r="P114" t="str">
            <v>Organismo de investigación</v>
          </cell>
          <cell r="Q114" t="str">
            <v>Transferencia del conocimiento</v>
          </cell>
          <cell r="R114" t="str">
            <v>Transferencia del conocimiento</v>
          </cell>
          <cell r="S114" t="str">
            <v>SI</v>
          </cell>
          <cell r="T114" t="str">
            <v>SI</v>
          </cell>
          <cell r="V114" t="str">
            <v>NO</v>
          </cell>
          <cell r="W114" t="str">
            <v>NO</v>
          </cell>
          <cell r="Z114" t="str">
            <v>Sí, la patente prevista es europea</v>
          </cell>
          <cell r="AA114" t="str">
            <v>Sí, la patente prevista es europea</v>
          </cell>
          <cell r="AB114" t="str">
            <v>Sí, la publicación prevista es en revista científica q1</v>
          </cell>
          <cell r="AC114" t="str">
            <v>Sí, la publicación prevista es en revista científica q1</v>
          </cell>
          <cell r="AD114" t="str">
            <v>False</v>
          </cell>
        </row>
        <row r="115">
          <cell r="A115" t="str">
            <v>0011-1365-2020-000114</v>
          </cell>
          <cell r="B115" t="str">
            <v>SQUALOIL</v>
          </cell>
          <cell r="C115">
            <v>183775</v>
          </cell>
          <cell r="D115">
            <v>43922</v>
          </cell>
          <cell r="E115">
            <v>44651</v>
          </cell>
          <cell r="F115" t="str">
            <v>doloresmarin@urzante.com</v>
          </cell>
          <cell r="G115" t="str">
            <v>Cadena alimentaria</v>
          </cell>
          <cell r="H115" t="str">
            <v>Cadena alimentaria</v>
          </cell>
          <cell r="I115" t="str">
            <v>Biotecnología</v>
          </cell>
          <cell r="J115" t="str">
            <v>Biotecnología</v>
          </cell>
          <cell r="K115" t="str">
            <v>Promover la economía circular</v>
          </cell>
          <cell r="L115" t="str">
            <v>Promover la economía circular</v>
          </cell>
          <cell r="M115" t="str">
            <v>Empresa</v>
          </cell>
          <cell r="N115" t="str">
            <v>Empresa</v>
          </cell>
          <cell r="O115" t="str">
            <v>Grande</v>
          </cell>
          <cell r="P115" t="str">
            <v>Grande</v>
          </cell>
          <cell r="Q115" t="str">
            <v>Transferencia del conocimiento</v>
          </cell>
          <cell r="R115" t="str">
            <v>Transferencia del conocimiento</v>
          </cell>
          <cell r="S115" t="str">
            <v>SI</v>
          </cell>
          <cell r="T115" t="str">
            <v>SI</v>
          </cell>
          <cell r="V115" t="str">
            <v>NO</v>
          </cell>
          <cell r="W115" t="str">
            <v>NO</v>
          </cell>
          <cell r="Z115" t="str">
            <v>Sí, la patente prevista es europea</v>
          </cell>
          <cell r="AA115" t="str">
            <v>Sí, la patente prevista es europea</v>
          </cell>
          <cell r="AB115" t="str">
            <v>Sí, la publicación prevista es en revista científica q1</v>
          </cell>
          <cell r="AC115" t="str">
            <v>Sí, la publicación prevista es en revista científica q1</v>
          </cell>
          <cell r="AD115" t="str">
            <v>False</v>
          </cell>
        </row>
        <row r="116">
          <cell r="A116" t="str">
            <v>0011-1365-2020-000115</v>
          </cell>
          <cell r="B116" t="str">
            <v>ASCENSOR PARA PERSONAS CON MOVILIDAD REDUCIDA ADAPTADO A LOS AUTOBUSES</v>
          </cell>
          <cell r="C116">
            <v>374077.68</v>
          </cell>
          <cell r="D116">
            <v>43922</v>
          </cell>
          <cell r="E116">
            <v>44651</v>
          </cell>
          <cell r="F116" t="str">
            <v>francis@ingenieriairadi.com</v>
          </cell>
          <cell r="G116" t="str">
            <v>Salud</v>
          </cell>
          <cell r="H116" t="str">
            <v>Salud</v>
          </cell>
          <cell r="I116" t="str">
            <v>Otros</v>
          </cell>
          <cell r="J116" t="str">
            <v>Otros</v>
          </cell>
          <cell r="K116" t="str">
            <v>Aumento de la eficiencia de los servicios sanitarios</v>
          </cell>
          <cell r="L116" t="str">
            <v>Aumento de la eficiencia de los servicios sanitarios</v>
          </cell>
          <cell r="M116" t="str">
            <v>Empresa</v>
          </cell>
          <cell r="N116" t="str">
            <v>Empresa</v>
          </cell>
          <cell r="O116" t="str">
            <v>Pequeña</v>
          </cell>
          <cell r="P116" t="str">
            <v>Pequeña</v>
          </cell>
          <cell r="Q116" t="str">
            <v>Individual</v>
          </cell>
          <cell r="R116" t="str">
            <v>Individual</v>
          </cell>
          <cell r="S116" t="str">
            <v>SI</v>
          </cell>
          <cell r="T116" t="str">
            <v>SI</v>
          </cell>
          <cell r="V116" t="str">
            <v>NO</v>
          </cell>
          <cell r="W116" t="str">
            <v>NO</v>
          </cell>
          <cell r="Z116" t="str">
            <v>Sí, la patente prevista es europea</v>
          </cell>
          <cell r="AA116" t="str">
            <v>Sí, la patente prevista es europea</v>
          </cell>
          <cell r="AB116" t="str">
            <v>No, no tenemos prevista publicación</v>
          </cell>
          <cell r="AC116" t="str">
            <v>No, no tenemos prevista publicación</v>
          </cell>
          <cell r="AD116" t="str">
            <v>False</v>
          </cell>
        </row>
        <row r="117">
          <cell r="A117" t="str">
            <v>0011-1365-2020-000116</v>
          </cell>
          <cell r="B117" t="str">
            <v>Sistema Inteligente de Análisis De Elementos de Construcción</v>
          </cell>
          <cell r="C117">
            <v>176348.83</v>
          </cell>
          <cell r="D117">
            <v>43922</v>
          </cell>
          <cell r="E117">
            <v>44561</v>
          </cell>
          <cell r="F117" t="str">
            <v>aeat.acr@acr.es</v>
          </cell>
          <cell r="G117" t="str">
            <v>Energías renovables y recursos</v>
          </cell>
          <cell r="H117" t="str">
            <v>Energías renovables y recursos</v>
          </cell>
          <cell r="I117" t="str">
            <v>Tic</v>
          </cell>
          <cell r="J117" t="str">
            <v>Tic</v>
          </cell>
          <cell r="K117" t="str">
            <v>Transformación 4.0 de la industria navarra</v>
          </cell>
          <cell r="L117" t="str">
            <v>Transformación 4.0 de la industria navarra</v>
          </cell>
          <cell r="M117" t="str">
            <v>Empresa</v>
          </cell>
          <cell r="N117" t="str">
            <v>Empresa</v>
          </cell>
          <cell r="O117" t="str">
            <v>Grande</v>
          </cell>
          <cell r="P117" t="str">
            <v>Grande</v>
          </cell>
          <cell r="Q117" t="str">
            <v>Cooperativo</v>
          </cell>
          <cell r="R117" t="str">
            <v>Cooperativo</v>
          </cell>
          <cell r="S117" t="str">
            <v>NO</v>
          </cell>
          <cell r="T117" t="str">
            <v>NO</v>
          </cell>
          <cell r="U117" t="str">
            <v>no obligación</v>
          </cell>
          <cell r="V117" t="str">
            <v>NO</v>
          </cell>
          <cell r="W117" t="str">
            <v>NO</v>
          </cell>
          <cell r="Z117" t="str">
            <v>No, no tenemos intención de patentar</v>
          </cell>
          <cell r="AA117" t="str">
            <v>No, no tenemos intención de patentar</v>
          </cell>
          <cell r="AB117" t="str">
            <v>No, no tenemos prevista publicación</v>
          </cell>
          <cell r="AC117" t="str">
            <v>No, no tenemos prevista publicación</v>
          </cell>
          <cell r="AD117" t="str">
            <v>False</v>
          </cell>
        </row>
        <row r="118">
          <cell r="A118" t="str">
            <v>0011-1365-2020-000117</v>
          </cell>
          <cell r="B118" t="str">
            <v>Economía circular en la fundición de aluminio: desarrollo de una nueva aleación de base reciclada (CIRCAL)</v>
          </cell>
          <cell r="C118" t="str">
            <v>186702 ,00</v>
          </cell>
          <cell r="D118">
            <v>43922</v>
          </cell>
          <cell r="E118">
            <v>44651</v>
          </cell>
          <cell r="F118" t="str">
            <v>jesus@mepef.com</v>
          </cell>
          <cell r="G118" t="str">
            <v>Energías renovables y recursos</v>
          </cell>
          <cell r="H118" t="str">
            <v>Energías renovables y recursos</v>
          </cell>
          <cell r="I118" t="str">
            <v>Otros</v>
          </cell>
          <cell r="J118" t="str">
            <v>Otros</v>
          </cell>
          <cell r="K118" t="str">
            <v>Promover la economía circular</v>
          </cell>
          <cell r="L118" t="str">
            <v>Promover la economía circular</v>
          </cell>
          <cell r="M118" t="str">
            <v>Empresa</v>
          </cell>
          <cell r="N118" t="str">
            <v>Empresa</v>
          </cell>
          <cell r="O118" t="str">
            <v>Pequeña</v>
          </cell>
          <cell r="P118" t="str">
            <v>Pequeña</v>
          </cell>
          <cell r="Q118" t="str">
            <v>Cooperativo</v>
          </cell>
          <cell r="R118" t="str">
            <v>Cooperativo</v>
          </cell>
          <cell r="S118" t="str">
            <v>SI</v>
          </cell>
          <cell r="T118" t="str">
            <v>SI</v>
          </cell>
          <cell r="V118" t="str">
            <v>NO</v>
          </cell>
          <cell r="W118" t="str">
            <v>NO</v>
          </cell>
          <cell r="Z118" t="str">
            <v>No, no tenemos intención de patentar</v>
          </cell>
          <cell r="AA118" t="str">
            <v>No, no tenemos intención de patentar</v>
          </cell>
          <cell r="AB118" t="str">
            <v>No, no tenemos prevista publicación</v>
          </cell>
          <cell r="AC118" t="str">
            <v>No, no tenemos prevista publicación</v>
          </cell>
          <cell r="AD118" t="str">
            <v>False</v>
          </cell>
        </row>
        <row r="119">
          <cell r="A119" t="str">
            <v>0011-1365-2020-000118</v>
          </cell>
          <cell r="B119" t="str">
            <v>Valorización de subproductos de avicultura para la fabricación de piensos de alta calidad para la acuicultura sostenible (ACUISOS).</v>
          </cell>
          <cell r="C119">
            <v>213775.9</v>
          </cell>
          <cell r="D119">
            <v>43922</v>
          </cell>
          <cell r="E119">
            <v>44651</v>
          </cell>
          <cell r="F119" t="str">
            <v>administracion@industrias-suescun.es</v>
          </cell>
          <cell r="G119" t="str">
            <v>Energías renovables y recursos</v>
          </cell>
          <cell r="H119" t="str">
            <v>Energías renovables y recursos</v>
          </cell>
          <cell r="I119" t="str">
            <v>Otros</v>
          </cell>
          <cell r="J119" t="str">
            <v>Otros</v>
          </cell>
          <cell r="K119" t="str">
            <v>Promover la economía circular</v>
          </cell>
          <cell r="L119" t="str">
            <v>Promover la economía circular</v>
          </cell>
          <cell r="M119" t="str">
            <v>Empresa</v>
          </cell>
          <cell r="N119" t="str">
            <v>Empresa</v>
          </cell>
          <cell r="O119" t="str">
            <v>Mediana</v>
          </cell>
          <cell r="P119" t="str">
            <v>Mediana</v>
          </cell>
          <cell r="Q119" t="str">
            <v>Individual</v>
          </cell>
          <cell r="R119" t="str">
            <v>Individual</v>
          </cell>
          <cell r="S119" t="str">
            <v>SI</v>
          </cell>
          <cell r="T119" t="str">
            <v>SI</v>
          </cell>
          <cell r="V119" t="str">
            <v>SI</v>
          </cell>
          <cell r="W119" t="str">
            <v>SI</v>
          </cell>
          <cell r="X119">
            <v>43922</v>
          </cell>
          <cell r="Y119" t="str">
            <v>CDTI</v>
          </cell>
          <cell r="Z119" t="str">
            <v>No, no tenemos intención de patentar</v>
          </cell>
          <cell r="AA119" t="str">
            <v>No, no tenemos intención de patentar</v>
          </cell>
          <cell r="AB119" t="str">
            <v>No, no tenemos prevista publicación</v>
          </cell>
          <cell r="AC119" t="str">
            <v>No, no tenemos prevista publicación</v>
          </cell>
          <cell r="AD119" t="str">
            <v>False</v>
          </cell>
        </row>
        <row r="120">
          <cell r="A120" t="str">
            <v>0011-1365-2020-000119</v>
          </cell>
          <cell r="B120" t="str">
            <v>VALORIZACIÓN DE RESIDUO DE TECNOCAUCHO PARA LA FABRICACIÓN DE NUEVOS PRODUCTOS</v>
          </cell>
          <cell r="C120">
            <v>203709.3</v>
          </cell>
          <cell r="D120">
            <v>43922</v>
          </cell>
          <cell r="E120">
            <v>44651</v>
          </cell>
          <cell r="F120" t="str">
            <v>infor@amayasport.com</v>
          </cell>
          <cell r="G120" t="str">
            <v>Energías renovables y recursos</v>
          </cell>
          <cell r="H120" t="str">
            <v>Energías renovables y recursos</v>
          </cell>
          <cell r="I120" t="str">
            <v>Manufactura avanzada</v>
          </cell>
          <cell r="J120" t="str">
            <v>Manufactura avanzada</v>
          </cell>
          <cell r="K120" t="str">
            <v>Promover la economía circular</v>
          </cell>
          <cell r="L120" t="str">
            <v>Promover la economía circular</v>
          </cell>
          <cell r="M120" t="str">
            <v>Empresa</v>
          </cell>
          <cell r="N120" t="str">
            <v>Empresa</v>
          </cell>
          <cell r="O120" t="str">
            <v>Pequeña</v>
          </cell>
          <cell r="P120" t="str">
            <v>Pequeña</v>
          </cell>
          <cell r="Q120" t="str">
            <v>Individual</v>
          </cell>
          <cell r="R120" t="str">
            <v>Individual</v>
          </cell>
          <cell r="S120" t="str">
            <v>SI</v>
          </cell>
          <cell r="T120" t="str">
            <v>SI</v>
          </cell>
          <cell r="V120" t="str">
            <v>NO</v>
          </cell>
          <cell r="W120" t="str">
            <v>NO</v>
          </cell>
          <cell r="Z120" t="str">
            <v>No, no tenemos intención de patentar</v>
          </cell>
          <cell r="AA120" t="str">
            <v>No, no tenemos intención de patentar</v>
          </cell>
          <cell r="AB120" t="str">
            <v>No, no tenemos prevista publicación</v>
          </cell>
          <cell r="AC120" t="str">
            <v>No, no tenemos prevista publicación</v>
          </cell>
          <cell r="AD120" t="str">
            <v>False</v>
          </cell>
        </row>
        <row r="121">
          <cell r="A121" t="str">
            <v>0011-1365-2020-000120</v>
          </cell>
          <cell r="B121" t="str">
            <v>MEJORA DE LA FERTILIDAD DEL SUELO Y COMPETITIVIDAD DE LOS CULTIVOS HORTÍCOLAS Y CEREALES</v>
          </cell>
          <cell r="C121">
            <v>155427.5</v>
          </cell>
          <cell r="D121">
            <v>44013</v>
          </cell>
          <cell r="E121">
            <v>44651</v>
          </cell>
          <cell r="F121" t="str">
            <v>b.belzunce@grupoan.com</v>
          </cell>
          <cell r="G121" t="str">
            <v>Cadena alimentaria</v>
          </cell>
          <cell r="H121" t="str">
            <v>Cadena alimentaria</v>
          </cell>
          <cell r="I121" t="str">
            <v>Biotecnología</v>
          </cell>
          <cell r="J121" t="str">
            <v>Biotecnología</v>
          </cell>
          <cell r="K121" t="str">
            <v>Vertebrar la cadena de valor alimentaria</v>
          </cell>
          <cell r="L121" t="str">
            <v>Vertebrar la cadena de valor alimentaria</v>
          </cell>
          <cell r="M121" t="str">
            <v>Empresa</v>
          </cell>
          <cell r="N121" t="str">
            <v>Empresa</v>
          </cell>
          <cell r="O121" t="str">
            <v>Grande</v>
          </cell>
          <cell r="P121" t="str">
            <v>Grande</v>
          </cell>
          <cell r="Q121" t="str">
            <v>Individual</v>
          </cell>
          <cell r="R121" t="str">
            <v>Individual</v>
          </cell>
          <cell r="S121" t="str">
            <v>SI</v>
          </cell>
          <cell r="T121" t="str">
            <v>SI</v>
          </cell>
          <cell r="U121" t="str">
            <v>15-A-109-00040435</v>
          </cell>
          <cell r="V121" t="str">
            <v>SI</v>
          </cell>
          <cell r="W121" t="str">
            <v>SI</v>
          </cell>
          <cell r="X121">
            <v>43867</v>
          </cell>
          <cell r="Y121" t="str">
            <v>MINISTERIO DE CIENCIA, INNOVACIÓN Y UNIVERSIDADES</v>
          </cell>
          <cell r="Z121" t="str">
            <v>No, no tenemos intención de patentar</v>
          </cell>
          <cell r="AA121" t="str">
            <v>No, no tenemos intención de patentar</v>
          </cell>
          <cell r="AB121" t="str">
            <v>No, no tenemos prevista publicación</v>
          </cell>
          <cell r="AC121" t="str">
            <v>No, no tenemos prevista publicación</v>
          </cell>
          <cell r="AD121" t="str">
            <v>False</v>
          </cell>
        </row>
        <row r="122">
          <cell r="A122" t="str">
            <v>0011-1365-2020-000121</v>
          </cell>
          <cell r="B122" t="str">
            <v>FORM3D - Investigación en tecnologías de impresión 3D para la fabricación de moldes de termoformado.</v>
          </cell>
          <cell r="C122">
            <v>325088</v>
          </cell>
          <cell r="D122">
            <v>43922</v>
          </cell>
          <cell r="E122">
            <v>44651</v>
          </cell>
          <cell r="F122" t="str">
            <v>administración@plasticosalai.com</v>
          </cell>
          <cell r="G122" t="str">
            <v>Cadena alimentaria</v>
          </cell>
          <cell r="H122" t="str">
            <v>Cadena alimentaria</v>
          </cell>
          <cell r="I122" t="str">
            <v>Manufactura avanzada</v>
          </cell>
          <cell r="J122" t="str">
            <v>Manufactura avanzada</v>
          </cell>
          <cell r="K122" t="str">
            <v>Transformación 4.0 de la industria navarra</v>
          </cell>
          <cell r="L122" t="str">
            <v>Transformación 4.0 de la industria navarra</v>
          </cell>
          <cell r="M122" t="str">
            <v>Empresa</v>
          </cell>
          <cell r="N122" t="str">
            <v>Empresa</v>
          </cell>
          <cell r="O122" t="str">
            <v>Mediana</v>
          </cell>
          <cell r="P122" t="str">
            <v>Mediana</v>
          </cell>
          <cell r="Q122" t="str">
            <v>Transferencia del conocimiento</v>
          </cell>
          <cell r="R122" t="str">
            <v>Transferencia del conocimiento</v>
          </cell>
          <cell r="S122" t="str">
            <v>SI</v>
          </cell>
          <cell r="T122" t="str">
            <v>SI</v>
          </cell>
          <cell r="V122" t="str">
            <v>NO</v>
          </cell>
          <cell r="W122" t="str">
            <v>NO</v>
          </cell>
          <cell r="Z122" t="str">
            <v>Sí, la patente prevista es europea</v>
          </cell>
          <cell r="AA122" t="str">
            <v>Sí, la patente prevista es europea</v>
          </cell>
          <cell r="AB122" t="str">
            <v>No, no tenemos prevista publicación</v>
          </cell>
          <cell r="AC122" t="str">
            <v>No, no tenemos prevista publicación</v>
          </cell>
          <cell r="AD122" t="str">
            <v>False</v>
          </cell>
        </row>
        <row r="123">
          <cell r="A123" t="str">
            <v>0011-1365-2020-000122</v>
          </cell>
          <cell r="B123" t="str">
            <v>VIMAN</v>
          </cell>
          <cell r="C123">
            <v>80111.19</v>
          </cell>
          <cell r="D123">
            <v>43922</v>
          </cell>
          <cell r="E123">
            <v>44651</v>
          </cell>
          <cell r="F123" t="str">
            <v>info@sistemasnavarra.es</v>
          </cell>
          <cell r="G123" t="str">
            <v>Turismo integral</v>
          </cell>
          <cell r="H123" t="str">
            <v>Turismo integral</v>
          </cell>
          <cell r="I123" t="str">
            <v>Tic</v>
          </cell>
          <cell r="J123" t="str">
            <v>Tic</v>
          </cell>
          <cell r="K123" t="str">
            <v>Nuevos nichos de oferta turística integral</v>
          </cell>
          <cell r="L123" t="str">
            <v>Nuevos nichos de oferta turística integral</v>
          </cell>
          <cell r="M123" t="str">
            <v>Empresa</v>
          </cell>
          <cell r="N123" t="str">
            <v>Empresa</v>
          </cell>
          <cell r="O123" t="str">
            <v>Pequeña</v>
          </cell>
          <cell r="P123" t="str">
            <v>Pequeña</v>
          </cell>
          <cell r="Q123" t="str">
            <v>Transferencia del conocimiento</v>
          </cell>
          <cell r="R123" t="str">
            <v>Transferencia del conocimiento</v>
          </cell>
          <cell r="S123" t="str">
            <v>NO</v>
          </cell>
          <cell r="T123" t="str">
            <v>NO</v>
          </cell>
          <cell r="U123" t="str">
            <v>No procede</v>
          </cell>
          <cell r="V123" t="str">
            <v>NO</v>
          </cell>
          <cell r="W123" t="str">
            <v>NO</v>
          </cell>
          <cell r="X123">
            <v>43899</v>
          </cell>
          <cell r="Y123" t="str">
            <v>GOBIERNO DE NAVARRA</v>
          </cell>
          <cell r="Z123" t="str">
            <v>No, no tenemos intención de patentar</v>
          </cell>
          <cell r="AA123" t="str">
            <v>No, no tenemos intención de patentar</v>
          </cell>
          <cell r="AB123" t="str">
            <v>Sí, la publicación prevista es en revista científica q1</v>
          </cell>
          <cell r="AC123" t="str">
            <v>Sí, la publicación prevista es en revista científica q1</v>
          </cell>
          <cell r="AD123" t="str">
            <v>False</v>
          </cell>
        </row>
        <row r="124">
          <cell r="A124" t="str">
            <v>0011-1365-2020-000123</v>
          </cell>
          <cell r="B124" t="str">
            <v>DISEÑO Y DESARROLLO DE UN SISTEMA INTELIGENTE DE VERIFICACIÓN DEL SELLADO EN LA INDUSTRIA ALIMENTARIA</v>
          </cell>
          <cell r="C124">
            <v>304748.99</v>
          </cell>
          <cell r="D124">
            <v>43922</v>
          </cell>
          <cell r="E124">
            <v>44561</v>
          </cell>
          <cell r="F124" t="str">
            <v>jjlecuona@tasiva.com</v>
          </cell>
          <cell r="G124" t="str">
            <v>Automoción y mecatrónica</v>
          </cell>
          <cell r="H124" t="str">
            <v>Automoción y mecatrónica</v>
          </cell>
          <cell r="I124" t="str">
            <v>Tic</v>
          </cell>
          <cell r="J124" t="str">
            <v>Tic</v>
          </cell>
          <cell r="K124" t="str">
            <v>Transformación 4.0 de la industria navarra</v>
          </cell>
          <cell r="L124" t="str">
            <v>Transformación 4.0 de la industria navarra</v>
          </cell>
          <cell r="M124" t="str">
            <v>Empresa</v>
          </cell>
          <cell r="N124" t="str">
            <v>Empresa</v>
          </cell>
          <cell r="O124" t="str">
            <v>Pequeña</v>
          </cell>
          <cell r="P124" t="str">
            <v>Pequeña</v>
          </cell>
          <cell r="Q124" t="str">
            <v>Individual</v>
          </cell>
          <cell r="R124" t="str">
            <v>Individual</v>
          </cell>
          <cell r="S124" t="str">
            <v>SI</v>
          </cell>
          <cell r="T124" t="str">
            <v>SI</v>
          </cell>
          <cell r="U124" t="str">
            <v>15-A-267-00060459</v>
          </cell>
          <cell r="V124" t="str">
            <v>SI</v>
          </cell>
          <cell r="W124" t="str">
            <v>SI</v>
          </cell>
          <cell r="Y124" t="str">
            <v xml:space="preserve">Ayudas a la contratación de personal investigador y tecnológico 2020 (Gobierno de Navarra) </v>
          </cell>
          <cell r="Z124" t="str">
            <v>Sí, la patente prevista es europea</v>
          </cell>
          <cell r="AA124" t="str">
            <v>Sí, la patente prevista es europea</v>
          </cell>
          <cell r="AB124" t="str">
            <v>No, no tenemos prevista publicación</v>
          </cell>
          <cell r="AC124" t="str">
            <v>No, no tenemos prevista publicación</v>
          </cell>
          <cell r="AD124" t="str">
            <v>False</v>
          </cell>
        </row>
        <row r="125">
          <cell r="A125" t="str">
            <v>0011-1365-2020-000124</v>
          </cell>
          <cell r="B125" t="str">
            <v>Gemelo digital para el mecanizado asistido por robots.</v>
          </cell>
          <cell r="C125">
            <v>228828.35</v>
          </cell>
          <cell r="D125">
            <v>43922</v>
          </cell>
          <cell r="E125">
            <v>44651</v>
          </cell>
          <cell r="F125" t="str">
            <v>administracion@aldakin.com</v>
          </cell>
          <cell r="G125" t="str">
            <v>Automoción y mecatrónica</v>
          </cell>
          <cell r="H125" t="str">
            <v>Automoción y mecatrónica</v>
          </cell>
          <cell r="I125" t="str">
            <v>Manufactura avanzada</v>
          </cell>
          <cell r="J125" t="str">
            <v>Manufactura avanzada</v>
          </cell>
          <cell r="K125" t="str">
            <v>Transformación 4.0 de la industria navarra</v>
          </cell>
          <cell r="L125" t="str">
            <v>Transformación 4.0 de la industria navarra</v>
          </cell>
          <cell r="M125" t="str">
            <v>Empresa</v>
          </cell>
          <cell r="N125" t="str">
            <v>Empresa</v>
          </cell>
          <cell r="O125" t="str">
            <v>Mediana</v>
          </cell>
          <cell r="P125" t="str">
            <v>Mediana</v>
          </cell>
          <cell r="Q125" t="str">
            <v>Transferencia del conocimiento</v>
          </cell>
          <cell r="R125" t="str">
            <v>Transferencia del conocimiento</v>
          </cell>
          <cell r="S125" t="str">
            <v>SI</v>
          </cell>
          <cell r="T125" t="str">
            <v>SI</v>
          </cell>
          <cell r="U125" t="str">
            <v>15-A-289-00060794</v>
          </cell>
          <cell r="V125" t="str">
            <v>NO</v>
          </cell>
          <cell r="W125" t="str">
            <v>NO</v>
          </cell>
          <cell r="Z125" t="str">
            <v>No, no tenemos intención de patentar</v>
          </cell>
          <cell r="AA125" t="str">
            <v>No, no tenemos intención de patentar</v>
          </cell>
          <cell r="AB125" t="str">
            <v>No, no tenemos prevista publicación</v>
          </cell>
          <cell r="AC125" t="str">
            <v>No, no tenemos prevista publicación</v>
          </cell>
          <cell r="AD125" t="str">
            <v>False</v>
          </cell>
        </row>
        <row r="126">
          <cell r="A126" t="str">
            <v>0011-1365-2020-000125</v>
          </cell>
          <cell r="B126" t="str">
            <v>OPTIVIPLASTDesarrollo de un sistema controlado de aplicación para la mejora de las propiedades ópticas en superficies de vidrio y plástico (OPTIVIPLAST)</v>
          </cell>
          <cell r="C126">
            <v>139458.6</v>
          </cell>
          <cell r="D126">
            <v>43922</v>
          </cell>
          <cell r="E126">
            <v>44651</v>
          </cell>
          <cell r="F126" t="str">
            <v>juanan.ruiz@nadetech.com</v>
          </cell>
          <cell r="G126" t="str">
            <v>Automoción y mecatrónica</v>
          </cell>
          <cell r="H126" t="str">
            <v>Automoción y mecatrónica</v>
          </cell>
          <cell r="I126" t="str">
            <v>Manufactura avanzada</v>
          </cell>
          <cell r="J126" t="str">
            <v>Manufactura avanzada</v>
          </cell>
          <cell r="K126" t="str">
            <v>Transformación 4.0 de la industria navarra</v>
          </cell>
          <cell r="L126" t="str">
            <v>Transformación 4.0 de la industria navarra</v>
          </cell>
          <cell r="M126" t="str">
            <v>Empresa</v>
          </cell>
          <cell r="N126" t="str">
            <v>Empresa</v>
          </cell>
          <cell r="O126" t="str">
            <v>Pequeña</v>
          </cell>
          <cell r="P126" t="str">
            <v>Pequeña</v>
          </cell>
          <cell r="Q126" t="str">
            <v>Transferencia del conocimiento</v>
          </cell>
          <cell r="R126" t="str">
            <v>Transferencia del conocimiento</v>
          </cell>
          <cell r="S126" t="str">
            <v>SI</v>
          </cell>
          <cell r="T126" t="str">
            <v>SI</v>
          </cell>
          <cell r="V126" t="str">
            <v>NO</v>
          </cell>
          <cell r="W126" t="str">
            <v>NO</v>
          </cell>
          <cell r="Z126" t="str">
            <v>No, no tenemos intención de patentar</v>
          </cell>
          <cell r="AA126" t="str">
            <v>No, no tenemos intención de patentar</v>
          </cell>
          <cell r="AB126" t="str">
            <v>No, no tenemos prevista publicación</v>
          </cell>
          <cell r="AC126" t="str">
            <v>No, no tenemos prevista publicación</v>
          </cell>
          <cell r="AD126" t="str">
            <v>False</v>
          </cell>
        </row>
        <row r="127">
          <cell r="A127" t="str">
            <v>0011-1365-2020-000126</v>
          </cell>
          <cell r="B127" t="str">
            <v>Gemelo digital para el mecanizado asistido por robots.</v>
          </cell>
          <cell r="C127">
            <v>103765.33</v>
          </cell>
          <cell r="D127">
            <v>43922</v>
          </cell>
          <cell r="E127">
            <v>44651</v>
          </cell>
          <cell r="F127" t="str">
            <v>jpl@tedcas.com</v>
          </cell>
          <cell r="G127" t="str">
            <v>Automoción y mecatrónica</v>
          </cell>
          <cell r="H127" t="str">
            <v>Automoción y mecatrónica</v>
          </cell>
          <cell r="I127" t="str">
            <v>Manufactura avanzada</v>
          </cell>
          <cell r="J127" t="str">
            <v>Manufactura avanzada</v>
          </cell>
          <cell r="K127" t="str">
            <v>Transformación 4.0 de la industria navarra</v>
          </cell>
          <cell r="L127" t="str">
            <v>Transformación 4.0 de la industria navarra</v>
          </cell>
          <cell r="M127" t="str">
            <v>Empresa</v>
          </cell>
          <cell r="N127" t="str">
            <v>Empresa</v>
          </cell>
          <cell r="O127" t="str">
            <v>Pequeña</v>
          </cell>
          <cell r="P127" t="str">
            <v>Pequeña</v>
          </cell>
          <cell r="Q127" t="str">
            <v>Transferencia del conocimiento</v>
          </cell>
          <cell r="R127" t="str">
            <v>Transferencia del conocimiento</v>
          </cell>
          <cell r="S127" t="str">
            <v>SI</v>
          </cell>
          <cell r="T127" t="str">
            <v>SI</v>
          </cell>
          <cell r="V127" t="str">
            <v>NO</v>
          </cell>
          <cell r="W127" t="str">
            <v>NO</v>
          </cell>
          <cell r="Z127" t="str">
            <v>No, no tenemos intención de patentar</v>
          </cell>
          <cell r="AA127" t="str">
            <v>No, no tenemos intención de patentar</v>
          </cell>
          <cell r="AB127" t="str">
            <v>No, no tenemos prevista publicación</v>
          </cell>
          <cell r="AC127" t="str">
            <v>No, no tenemos prevista publicación</v>
          </cell>
          <cell r="AD127" t="str">
            <v>False</v>
          </cell>
        </row>
        <row r="128">
          <cell r="A128" t="str">
            <v>0011-1365-2020-000127</v>
          </cell>
          <cell r="B128" t="str">
            <v>FORM3D - Investigación en tecnologías de impresión 3D para la fabricación de moldes de termoformado.</v>
          </cell>
          <cell r="C128">
            <v>147267</v>
          </cell>
          <cell r="D128">
            <v>43922</v>
          </cell>
          <cell r="E128">
            <v>44651</v>
          </cell>
          <cell r="F128" t="str">
            <v>aursua@ain.es</v>
          </cell>
          <cell r="G128" t="str">
            <v>Cadena alimentaria</v>
          </cell>
          <cell r="H128" t="str">
            <v>Cadena alimentaria</v>
          </cell>
          <cell r="I128" t="str">
            <v>Manufactura avanzada</v>
          </cell>
          <cell r="J128" t="str">
            <v>Manufactura avanzada</v>
          </cell>
          <cell r="K128" t="str">
            <v>Transformación 4.0 de la industria navarra</v>
          </cell>
          <cell r="L128" t="str">
            <v>Transformación 4.0 de la industria navarra</v>
          </cell>
          <cell r="M128" t="str">
            <v>Organismo de investigación</v>
          </cell>
          <cell r="N128" t="str">
            <v>Organismo de investigación</v>
          </cell>
          <cell r="O128" t="str">
            <v>Organismo de investigación</v>
          </cell>
          <cell r="P128" t="str">
            <v>Organismo de investigación</v>
          </cell>
          <cell r="Q128" t="str">
            <v>Transferencia del conocimiento</v>
          </cell>
          <cell r="R128" t="str">
            <v>Transferencia del conocimiento</v>
          </cell>
          <cell r="S128" t="str">
            <v>SI</v>
          </cell>
          <cell r="T128" t="str">
            <v>SI</v>
          </cell>
          <cell r="V128" t="str">
            <v>NO</v>
          </cell>
          <cell r="W128" t="str">
            <v>NO</v>
          </cell>
          <cell r="Z128" t="str">
            <v>Sí, la patente prevista es europea</v>
          </cell>
          <cell r="AA128" t="str">
            <v>Sí, la patente prevista es europea</v>
          </cell>
          <cell r="AB128" t="str">
            <v>No, no tenemos prevista publicación</v>
          </cell>
          <cell r="AC128" t="str">
            <v>No, no tenemos prevista publicación</v>
          </cell>
          <cell r="AD128" t="str">
            <v>False</v>
          </cell>
        </row>
        <row r="129">
          <cell r="A129" t="str">
            <v>0011-1365-2020-000128</v>
          </cell>
          <cell r="B129" t="str">
            <v>Fichador inalámbrico PlugandPlay con tecnología NarrowBand, LoRa y 5G</v>
          </cell>
          <cell r="C129">
            <v>60731</v>
          </cell>
          <cell r="D129">
            <v>43922</v>
          </cell>
          <cell r="E129">
            <v>44286</v>
          </cell>
          <cell r="F129" t="str">
            <v>alex.diaz@i3i.es</v>
          </cell>
          <cell r="G129" t="str">
            <v>Automoción y mecatrónica</v>
          </cell>
          <cell r="H129" t="str">
            <v>Automoción y mecatrónica</v>
          </cell>
          <cell r="I129" t="str">
            <v>Tic</v>
          </cell>
          <cell r="J129" t="str">
            <v>Tic</v>
          </cell>
          <cell r="K129" t="str">
            <v>Transformación 4.0 de la industria navarra</v>
          </cell>
          <cell r="L129" t="str">
            <v>Transformación 4.0 de la industria navarra</v>
          </cell>
          <cell r="M129" t="str">
            <v>Empresa</v>
          </cell>
          <cell r="N129" t="str">
            <v>Empresa</v>
          </cell>
          <cell r="O129" t="str">
            <v>Pequeña</v>
          </cell>
          <cell r="P129" t="str">
            <v>Pequeña</v>
          </cell>
          <cell r="Q129" t="str">
            <v>Individual</v>
          </cell>
          <cell r="R129" t="str">
            <v>Individual</v>
          </cell>
          <cell r="S129" t="str">
            <v>SI</v>
          </cell>
          <cell r="T129" t="str">
            <v>SI</v>
          </cell>
          <cell r="U129" t="str">
            <v>00053180 / 00053181 / 00053182</v>
          </cell>
          <cell r="V129" t="str">
            <v>NO</v>
          </cell>
          <cell r="W129" t="str">
            <v>NO</v>
          </cell>
          <cell r="Z129" t="str">
            <v>No, no tenemos intención de patentar</v>
          </cell>
          <cell r="AA129" t="str">
            <v>No, no tenemos intención de patentar</v>
          </cell>
          <cell r="AB129" t="str">
            <v>No, no tenemos prevista publicación</v>
          </cell>
          <cell r="AC129" t="str">
            <v>No, no tenemos prevista publicación</v>
          </cell>
          <cell r="AD129" t="str">
            <v>False</v>
          </cell>
        </row>
        <row r="130">
          <cell r="A130" t="str">
            <v>0011-1365-2020-000129</v>
          </cell>
          <cell r="B130" t="str">
            <v>MORTEROS DE ALTA CONUCTIVIDAD TÉRMICA - HIGHLANDA</v>
          </cell>
          <cell r="C130">
            <v>128700</v>
          </cell>
          <cell r="D130">
            <v>43922</v>
          </cell>
          <cell r="E130">
            <v>44651</v>
          </cell>
          <cell r="F130" t="str">
            <v>nmedrano@cthnavarra.com</v>
          </cell>
          <cell r="G130" t="str">
            <v>Energías renovables y recursos</v>
          </cell>
          <cell r="H130" t="str">
            <v>Energías renovables y recursos</v>
          </cell>
          <cell r="I130" t="str">
            <v>Otros</v>
          </cell>
          <cell r="J130" t="str">
            <v>Otros</v>
          </cell>
          <cell r="K130" t="str">
            <v>Promover la economía circular</v>
          </cell>
          <cell r="L130" t="str">
            <v>Promover la economía circular</v>
          </cell>
          <cell r="M130" t="str">
            <v>Empresa</v>
          </cell>
          <cell r="N130" t="str">
            <v>Empresa</v>
          </cell>
          <cell r="O130" t="str">
            <v>Mediana</v>
          </cell>
          <cell r="P130" t="str">
            <v>Mediana</v>
          </cell>
          <cell r="Q130" t="str">
            <v>Transferencia del conocimiento</v>
          </cell>
          <cell r="R130" t="str">
            <v>Transferencia del conocimiento</v>
          </cell>
          <cell r="S130" t="str">
            <v>NO</v>
          </cell>
          <cell r="T130" t="str">
            <v>NO</v>
          </cell>
          <cell r="U130" t="str">
            <v>no procede</v>
          </cell>
          <cell r="V130" t="str">
            <v>NO</v>
          </cell>
          <cell r="W130" t="str">
            <v>NO</v>
          </cell>
          <cell r="Z130" t="str">
            <v>No, no tenemos intención de patentar</v>
          </cell>
          <cell r="AA130" t="str">
            <v>No, no tenemos intención de patentar</v>
          </cell>
          <cell r="AB130" t="str">
            <v>Sí, la publicación prevista es en revista científica q1</v>
          </cell>
          <cell r="AC130" t="str">
            <v>Sí, la publicación prevista es en revista científica q1</v>
          </cell>
          <cell r="AD130" t="str">
            <v>False</v>
          </cell>
        </row>
        <row r="131">
          <cell r="A131" t="str">
            <v>0011-1365-2020-000130</v>
          </cell>
          <cell r="B131" t="str">
            <v>NUEVA TERAPIA FÁGICA FRENTE A PSEUDOMONAS AERUGINOSA Y ENTEROBACTERIAS MULTIRRESISTENTES A ANTIBIÓTICOS</v>
          </cell>
          <cell r="C131">
            <v>417446.21</v>
          </cell>
          <cell r="D131">
            <v>43922</v>
          </cell>
          <cell r="E131">
            <v>44651</v>
          </cell>
          <cell r="F131" t="str">
            <v>rdiez@telumther.com</v>
          </cell>
          <cell r="G131" t="str">
            <v>Salud</v>
          </cell>
          <cell r="H131" t="str">
            <v>Salud</v>
          </cell>
          <cell r="I131" t="str">
            <v>Biotecnología</v>
          </cell>
          <cell r="J131" t="str">
            <v>Biotecnología</v>
          </cell>
          <cell r="K131" t="str">
            <v>Desarrollo de la medicina personalizada</v>
          </cell>
          <cell r="L131" t="str">
            <v>Desarrollo de la medicina personalizada</v>
          </cell>
          <cell r="M131" t="str">
            <v>Empresa</v>
          </cell>
          <cell r="N131" t="str">
            <v>Empresa</v>
          </cell>
          <cell r="O131" t="str">
            <v>Pequeña</v>
          </cell>
          <cell r="P131" t="str">
            <v>Pequeña</v>
          </cell>
          <cell r="Q131" t="str">
            <v>Individual</v>
          </cell>
          <cell r="R131" t="str">
            <v>Individual</v>
          </cell>
          <cell r="S131" t="str">
            <v>NO</v>
          </cell>
          <cell r="T131" t="str">
            <v>NO</v>
          </cell>
          <cell r="U131" t="str">
            <v>N/A</v>
          </cell>
          <cell r="V131" t="str">
            <v>SI</v>
          </cell>
          <cell r="W131" t="str">
            <v>SI</v>
          </cell>
          <cell r="X131">
            <v>43896</v>
          </cell>
          <cell r="Y131" t="str">
            <v>Ayudas a la Contratación de Personal Tecnológico e Investigador de Gobierno de Navarra 2020</v>
          </cell>
          <cell r="Z131" t="str">
            <v>Sí, la patente prevista es europea</v>
          </cell>
          <cell r="AA131" t="str">
            <v>Sí, la patente prevista es europea</v>
          </cell>
          <cell r="AB131" t="str">
            <v>Sí, la publicación prevista es en revista científica q1</v>
          </cell>
          <cell r="AC131" t="str">
            <v>Sí, la publicación prevista es en revista científica q1</v>
          </cell>
          <cell r="AD131" t="str">
            <v>False</v>
          </cell>
        </row>
        <row r="132">
          <cell r="A132" t="str">
            <v>0011-1365-2020-000131</v>
          </cell>
          <cell r="B132" t="str">
            <v>VIMAN: Virtualidad, Interactividad y Mapping 3D para generar experiencias impactantes al turista en  Navarr</v>
          </cell>
          <cell r="C132">
            <v>89470</v>
          </cell>
          <cell r="D132">
            <v>43922</v>
          </cell>
          <cell r="E132">
            <v>44651</v>
          </cell>
          <cell r="F132" t="str">
            <v>tramasl@gmail.com</v>
          </cell>
          <cell r="G132" t="str">
            <v>Turismo integral</v>
          </cell>
          <cell r="H132" t="str">
            <v>Turismo integral</v>
          </cell>
          <cell r="I132" t="str">
            <v>Tic</v>
          </cell>
          <cell r="J132" t="str">
            <v>Tic</v>
          </cell>
          <cell r="K132" t="str">
            <v>Nuevos nichos de oferta turística integral</v>
          </cell>
          <cell r="L132" t="str">
            <v>Nuevos nichos de oferta turística integral</v>
          </cell>
          <cell r="M132" t="str">
            <v>Empresa</v>
          </cell>
          <cell r="N132" t="str">
            <v>Empresa</v>
          </cell>
          <cell r="O132" t="str">
            <v>Pequeña</v>
          </cell>
          <cell r="P132" t="str">
            <v>Pequeña</v>
          </cell>
          <cell r="Q132" t="str">
            <v>Transferencia del conocimiento</v>
          </cell>
          <cell r="R132" t="str">
            <v>Transferencia del conocimiento</v>
          </cell>
          <cell r="S132" t="str">
            <v>NO</v>
          </cell>
          <cell r="T132" t="str">
            <v>NO</v>
          </cell>
          <cell r="U132" t="str">
            <v>No nos dedicamos a actividades industriales</v>
          </cell>
          <cell r="V132" t="str">
            <v>NO</v>
          </cell>
          <cell r="W132" t="str">
            <v>NO</v>
          </cell>
          <cell r="Z132" t="str">
            <v>No, no tenemos intención de patentar</v>
          </cell>
          <cell r="AA132" t="str">
            <v>No, no tenemos intención de patentar</v>
          </cell>
          <cell r="AB132" t="str">
            <v>Sí, la publicación prevista es en revista científica q1</v>
          </cell>
          <cell r="AC132" t="str">
            <v>Sí, la publicación prevista es en revista científica q1</v>
          </cell>
          <cell r="AD132" t="str">
            <v>False</v>
          </cell>
        </row>
        <row r="133">
          <cell r="A133" t="str">
            <v>0011-1365-2020-000132</v>
          </cell>
          <cell r="B133" t="str">
            <v>MOLDE DE MULTIPOSICION SECUENCIADA PARA MOLDEADO MULTIMATERIAL POR INYECCIÓN - MULTINJECT</v>
          </cell>
          <cell r="C133">
            <v>148571.5</v>
          </cell>
          <cell r="D133">
            <v>43922</v>
          </cell>
          <cell r="E133">
            <v>44651</v>
          </cell>
          <cell r="F133" t="str">
            <v>vgomez@tallerescarlosgomez.es</v>
          </cell>
          <cell r="G133" t="str">
            <v>Industrias creativas y digitales</v>
          </cell>
          <cell r="H133" t="str">
            <v>Industrias creativas y digitales</v>
          </cell>
          <cell r="I133" t="str">
            <v>Manufactura avanzada</v>
          </cell>
          <cell r="J133" t="str">
            <v>Manufactura avanzada</v>
          </cell>
          <cell r="K133" t="str">
            <v>Industrias creativas y digitales</v>
          </cell>
          <cell r="L133" t="str">
            <v>Industrias creativas y digitales</v>
          </cell>
          <cell r="M133" t="str">
            <v>Empresa</v>
          </cell>
          <cell r="N133" t="str">
            <v>Empresa</v>
          </cell>
          <cell r="O133" t="str">
            <v>Pequeña</v>
          </cell>
          <cell r="P133" t="str">
            <v>Pequeña</v>
          </cell>
          <cell r="Q133" t="str">
            <v>Transferencia del conocimiento</v>
          </cell>
          <cell r="R133" t="str">
            <v>Transferencia del conocimiento</v>
          </cell>
          <cell r="S133" t="str">
            <v>SI</v>
          </cell>
          <cell r="T133" t="str">
            <v>SI</v>
          </cell>
          <cell r="V133" t="str">
            <v>NO</v>
          </cell>
          <cell r="W133" t="str">
            <v>NO</v>
          </cell>
          <cell r="Z133" t="str">
            <v>No, no tenemos intención de patentar</v>
          </cell>
          <cell r="AA133" t="str">
            <v>No, no tenemos intención de patentar</v>
          </cell>
          <cell r="AB133" t="str">
            <v>Sí, la publicación prevista es en revista científica q1</v>
          </cell>
          <cell r="AC133" t="str">
            <v>Sí, la publicación prevista es en revista científica q1</v>
          </cell>
          <cell r="AD133" t="str">
            <v>False</v>
          </cell>
        </row>
        <row r="134">
          <cell r="A134" t="str">
            <v>0011-1365-2020-000133</v>
          </cell>
          <cell r="B134" t="str">
            <v>GESTIÓN AUTOMATIZADA, DINÁMICA Y EVOLUTIVA DE ESCUELAS DEPORTIVAS</v>
          </cell>
          <cell r="C134">
            <v>66413.69</v>
          </cell>
          <cell r="D134">
            <v>43922</v>
          </cell>
          <cell r="E134">
            <v>44196</v>
          </cell>
          <cell r="F134" t="str">
            <v>jgarcia@hydra.es</v>
          </cell>
          <cell r="G134" t="str">
            <v>Salud</v>
          </cell>
          <cell r="H134" t="str">
            <v>Salud</v>
          </cell>
          <cell r="I134" t="str">
            <v>Tic</v>
          </cell>
          <cell r="J134" t="str">
            <v>Tic</v>
          </cell>
          <cell r="K134" t="str">
            <v>Desarrollo de la medicina personalizada</v>
          </cell>
          <cell r="L134" t="str">
            <v>Desarrollo de la medicina personalizada</v>
          </cell>
          <cell r="M134" t="str">
            <v>Empresa</v>
          </cell>
          <cell r="N134" t="str">
            <v>Empresa</v>
          </cell>
          <cell r="O134" t="str">
            <v>Pequeña</v>
          </cell>
          <cell r="P134" t="str">
            <v>Pequeña</v>
          </cell>
          <cell r="Q134" t="str">
            <v>Individual</v>
          </cell>
          <cell r="R134" t="str">
            <v>Individual</v>
          </cell>
          <cell r="S134" t="str">
            <v>NO</v>
          </cell>
          <cell r="T134" t="str">
            <v>NO</v>
          </cell>
          <cell r="U134" t="str">
            <v>No opera en el sector industrial</v>
          </cell>
          <cell r="V134" t="str">
            <v>NO</v>
          </cell>
          <cell r="W134" t="str">
            <v>NO</v>
          </cell>
          <cell r="Z134" t="str">
            <v>No, no tenemos intención de patentar</v>
          </cell>
          <cell r="AA134" t="str">
            <v>No, no tenemos intención de patentar</v>
          </cell>
          <cell r="AB134" t="str">
            <v>No, no tenemos prevista publicación</v>
          </cell>
          <cell r="AC134" t="str">
            <v>No, no tenemos prevista publicación</v>
          </cell>
          <cell r="AD134" t="str">
            <v>False</v>
          </cell>
        </row>
        <row r="135">
          <cell r="A135" t="str">
            <v>0011-1365-2020-000134</v>
          </cell>
          <cell r="B135" t="str">
            <v>NEUROCAPS</v>
          </cell>
          <cell r="C135">
            <v>130011</v>
          </cell>
          <cell r="D135">
            <v>43922</v>
          </cell>
          <cell r="E135">
            <v>44650</v>
          </cell>
          <cell r="F135" t="str">
            <v>mariano.oto@nucapsnanotechnology.com</v>
          </cell>
          <cell r="G135" t="str">
            <v>Salud</v>
          </cell>
          <cell r="H135" t="str">
            <v>Salud</v>
          </cell>
          <cell r="I135" t="str">
            <v>Biotecnología</v>
          </cell>
          <cell r="J135" t="str">
            <v>Biotecnología</v>
          </cell>
          <cell r="K135" t="str">
            <v>Desarrollo de la medicina personalizada</v>
          </cell>
          <cell r="L135" t="str">
            <v>Desarrollo de la medicina personalizada</v>
          </cell>
          <cell r="M135" t="str">
            <v>Empresa</v>
          </cell>
          <cell r="N135" t="str">
            <v>Empresa</v>
          </cell>
          <cell r="O135" t="str">
            <v>Pequeña</v>
          </cell>
          <cell r="P135" t="str">
            <v>Pequeña</v>
          </cell>
          <cell r="Q135" t="str">
            <v>Transferencia del conocimiento</v>
          </cell>
          <cell r="R135" t="str">
            <v>Transferencia del conocimiento</v>
          </cell>
          <cell r="S135" t="str">
            <v>NO</v>
          </cell>
          <cell r="T135" t="str">
            <v>NO</v>
          </cell>
          <cell r="U135" t="str">
            <v>No necesario. Laboratorio</v>
          </cell>
          <cell r="V135" t="str">
            <v>SI</v>
          </cell>
          <cell r="W135" t="str">
            <v>SI</v>
          </cell>
          <cell r="X135">
            <v>43867</v>
          </cell>
          <cell r="Y135" t="str">
            <v>Ministerio de Ciencia Innovación y Universidades (Torres-Quevedo)</v>
          </cell>
          <cell r="Z135" t="str">
            <v>Sí, la patente prevista es europea</v>
          </cell>
          <cell r="AA135" t="str">
            <v>Sí, la patente prevista es europea</v>
          </cell>
          <cell r="AB135" t="str">
            <v>Sí, la publicación prevista es en revista científica</v>
          </cell>
          <cell r="AC135" t="str">
            <v>Sí, la publicación prevista es en revista científica</v>
          </cell>
          <cell r="AD135" t="str">
            <v>False</v>
          </cell>
        </row>
        <row r="136">
          <cell r="A136" t="str">
            <v>0011-1365-2020-000135</v>
          </cell>
          <cell r="B136" t="str">
            <v>SIADEC – Sistema Inteligente de Análisis De Elementos de Construcción</v>
          </cell>
          <cell r="C136">
            <v>130911</v>
          </cell>
          <cell r="D136">
            <v>43922</v>
          </cell>
          <cell r="E136">
            <v>44561</v>
          </cell>
          <cell r="F136" t="str">
            <v>administracion@i3code.es</v>
          </cell>
          <cell r="G136" t="str">
            <v>Automoción y mecatrónica</v>
          </cell>
          <cell r="H136" t="str">
            <v>Automoción y mecatrónica</v>
          </cell>
          <cell r="I136" t="str">
            <v>Tic</v>
          </cell>
          <cell r="J136" t="str">
            <v>Tic</v>
          </cell>
          <cell r="K136" t="str">
            <v>Transformación 4.0 de la industria navarra</v>
          </cell>
          <cell r="L136" t="str">
            <v>Transformación 4.0 de la industria navarra</v>
          </cell>
          <cell r="M136" t="str">
            <v>Empresa</v>
          </cell>
          <cell r="N136" t="str">
            <v>Empresa</v>
          </cell>
          <cell r="O136" t="str">
            <v>Pequeña</v>
          </cell>
          <cell r="P136" t="str">
            <v>Pequeña</v>
          </cell>
          <cell r="Q136" t="str">
            <v>Cooperativo</v>
          </cell>
          <cell r="R136" t="str">
            <v>Cooperativo</v>
          </cell>
          <cell r="S136" t="str">
            <v>SI</v>
          </cell>
          <cell r="T136" t="str">
            <v>SI</v>
          </cell>
          <cell r="V136" t="str">
            <v>SI</v>
          </cell>
          <cell r="W136" t="str">
            <v>SI</v>
          </cell>
          <cell r="X136">
            <v>43896</v>
          </cell>
          <cell r="Y136" t="str">
            <v>Solicitado a Gobierno de Navarra, Ayudas a la contratación de personal investigador y tecnológico 2020</v>
          </cell>
          <cell r="Z136" t="str">
            <v>No, no tenemos intención de patentar</v>
          </cell>
          <cell r="AA136" t="str">
            <v>No, no tenemos intención de patentar</v>
          </cell>
          <cell r="AB136" t="str">
            <v>No, no tenemos prevista publicación</v>
          </cell>
          <cell r="AC136" t="str">
            <v>No, no tenemos prevista publicación</v>
          </cell>
          <cell r="AD136" t="str">
            <v>False</v>
          </cell>
        </row>
        <row r="137">
          <cell r="A137" t="str">
            <v>0011-1365-2020-000136</v>
          </cell>
          <cell r="B137" t="str">
            <v>Desarrollo y optimización de sistemas de aplicación y curado de soluciones anti-corrosión de bajo espesor en base a nanotecnología cerámica (Corrosión-Free)</v>
          </cell>
          <cell r="C137">
            <v>120128</v>
          </cell>
          <cell r="D137">
            <v>43922</v>
          </cell>
          <cell r="E137">
            <v>44651</v>
          </cell>
          <cell r="F137" t="str">
            <v>administracion@nodirecubrimientos.com</v>
          </cell>
          <cell r="G137" t="str">
            <v>Automoción y mecatrónica</v>
          </cell>
          <cell r="H137" t="str">
            <v>Automoción y mecatrónica</v>
          </cell>
          <cell r="I137" t="str">
            <v>Manufactura avanzada</v>
          </cell>
          <cell r="J137" t="str">
            <v>Manufactura avanzada</v>
          </cell>
          <cell r="K137" t="str">
            <v>Transformación 4.0 de la industria navarra</v>
          </cell>
          <cell r="L137" t="str">
            <v>Transformación 4.0 de la industria navarra</v>
          </cell>
          <cell r="M137" t="str">
            <v>Empresa</v>
          </cell>
          <cell r="N137" t="str">
            <v>Empresa</v>
          </cell>
          <cell r="O137" t="str">
            <v>Pequeña</v>
          </cell>
          <cell r="P137" t="str">
            <v>Pequeña</v>
          </cell>
          <cell r="Q137" t="str">
            <v>Transferencia del conocimiento</v>
          </cell>
          <cell r="R137" t="str">
            <v>Transferencia del conocimiento</v>
          </cell>
          <cell r="S137" t="str">
            <v>SI</v>
          </cell>
          <cell r="T137" t="str">
            <v>SI</v>
          </cell>
          <cell r="U137" t="str">
            <v>15-A-256-00061494</v>
          </cell>
          <cell r="V137" t="str">
            <v>NO</v>
          </cell>
          <cell r="W137" t="str">
            <v>NO</v>
          </cell>
          <cell r="Z137" t="str">
            <v>No, no tenemos intención de patentar</v>
          </cell>
          <cell r="AA137" t="str">
            <v>No, no tenemos intención de patentar</v>
          </cell>
          <cell r="AB137" t="str">
            <v>No, no tenemos prevista publicación</v>
          </cell>
          <cell r="AC137" t="str">
            <v>No, no tenemos prevista publicación</v>
          </cell>
          <cell r="AD137" t="str">
            <v>False</v>
          </cell>
        </row>
        <row r="138">
          <cell r="A138" t="str">
            <v>0011-1365-2020-000137</v>
          </cell>
          <cell r="B138" t="str">
            <v>MORTEROS DE ALTA CONDUCTIVIDAD TÉRMICA - HIGHLANDA</v>
          </cell>
          <cell r="C138">
            <v>94307</v>
          </cell>
          <cell r="D138">
            <v>43922</v>
          </cell>
          <cell r="E138">
            <v>44651</v>
          </cell>
          <cell r="F138" t="str">
            <v>vicerrectorado.investigacion@unavarra.es</v>
          </cell>
          <cell r="G138" t="str">
            <v>Energías renovables y recursos</v>
          </cell>
          <cell r="H138" t="str">
            <v>Energías renovables y recursos</v>
          </cell>
          <cell r="I138" t="str">
            <v>Otros</v>
          </cell>
          <cell r="J138" t="str">
            <v>Otros</v>
          </cell>
          <cell r="K138" t="str">
            <v>Promover la economía circular</v>
          </cell>
          <cell r="L138" t="str">
            <v>Promover la economía circular</v>
          </cell>
          <cell r="M138" t="str">
            <v>Organismo de investigación</v>
          </cell>
          <cell r="N138" t="str">
            <v>Organismo de investigación</v>
          </cell>
          <cell r="O138" t="str">
            <v>Organismo de investigación</v>
          </cell>
          <cell r="P138" t="str">
            <v>Organismo de investigación</v>
          </cell>
          <cell r="Q138" t="str">
            <v>Transferencia del conocimiento</v>
          </cell>
          <cell r="R138" t="str">
            <v>Transferencia del conocimiento</v>
          </cell>
          <cell r="S138" t="str">
            <v>NO</v>
          </cell>
          <cell r="T138" t="str">
            <v>NO</v>
          </cell>
          <cell r="U138" t="str">
            <v>Universidad Publica</v>
          </cell>
          <cell r="V138" t="str">
            <v>NO</v>
          </cell>
          <cell r="W138" t="str">
            <v>NO</v>
          </cell>
          <cell r="Z138" t="str">
            <v>No, no tenemos intención de patentar</v>
          </cell>
          <cell r="AA138" t="str">
            <v>No, no tenemos intención de patentar</v>
          </cell>
          <cell r="AB138" t="str">
            <v>Sí, la publicación prevista es en revista científica q1</v>
          </cell>
          <cell r="AC138" t="str">
            <v>Sí, la publicación prevista es en revista científica q1</v>
          </cell>
          <cell r="AD138" t="str">
            <v>False</v>
          </cell>
        </row>
        <row r="139">
          <cell r="A139" t="str">
            <v>0011-1365-2020-000138</v>
          </cell>
          <cell r="B139" t="str">
            <v>NUEVO MATERIAL DE FRICCIÓN SINTERIZADO PARA TRENES DE PASAJEROS DE ALTA VELOCIDAD EN CHINA</v>
          </cell>
          <cell r="C139">
            <v>195813.6</v>
          </cell>
          <cell r="D139">
            <v>43922</v>
          </cell>
          <cell r="E139">
            <v>44286</v>
          </cell>
          <cell r="F139" t="str">
            <v>ezamora@icer-rail.com</v>
          </cell>
          <cell r="G139" t="str">
            <v>Automoción y mecatrónica</v>
          </cell>
          <cell r="H139" t="str">
            <v>Automoción y mecatrónica</v>
          </cell>
          <cell r="I139" t="str">
            <v>Manufactura avanzada</v>
          </cell>
          <cell r="J139" t="str">
            <v>Manufactura avanzada</v>
          </cell>
          <cell r="K139" t="str">
            <v>Impulso del vehículo eléctrico</v>
          </cell>
          <cell r="L139" t="str">
            <v>Impulso del vehículo eléctrico</v>
          </cell>
          <cell r="M139" t="str">
            <v>Empresa</v>
          </cell>
          <cell r="N139" t="str">
            <v>Empresa</v>
          </cell>
          <cell r="O139" t="str">
            <v>Grande</v>
          </cell>
          <cell r="P139" t="str">
            <v>Grande</v>
          </cell>
          <cell r="Q139" t="str">
            <v>Individual</v>
          </cell>
          <cell r="R139" t="str">
            <v>Individual</v>
          </cell>
          <cell r="S139" t="str">
            <v>SI</v>
          </cell>
          <cell r="T139" t="str">
            <v>SI</v>
          </cell>
          <cell r="U139" t="str">
            <v>15-A-302-00004908</v>
          </cell>
          <cell r="V139" t="str">
            <v>NO</v>
          </cell>
          <cell r="W139" t="str">
            <v>NO</v>
          </cell>
          <cell r="Z139" t="str">
            <v>No, no tenemos intención de patentar</v>
          </cell>
          <cell r="AA139" t="str">
            <v>No, no tenemos intención de patentar</v>
          </cell>
          <cell r="AB139" t="str">
            <v>No, no tenemos prevista publicación</v>
          </cell>
          <cell r="AC139" t="str">
            <v>No, no tenemos prevista publicación</v>
          </cell>
          <cell r="AD139" t="str">
            <v>False</v>
          </cell>
        </row>
        <row r="140">
          <cell r="A140" t="str">
            <v>0011-1365-2020-000139</v>
          </cell>
          <cell r="B140" t="str">
            <v>MAESTRO: gemelo digital para el mecanizado asistido por robots</v>
          </cell>
          <cell r="C140">
            <v>107264</v>
          </cell>
          <cell r="D140">
            <v>43922</v>
          </cell>
          <cell r="E140">
            <v>44651</v>
          </cell>
          <cell r="F140" t="str">
            <v>vicerrectorado.investigacion@unavarra.es</v>
          </cell>
          <cell r="G140" t="str">
            <v>Automoción y mecatrónica</v>
          </cell>
          <cell r="H140" t="str">
            <v>Automoción y mecatrónica</v>
          </cell>
          <cell r="I140" t="str">
            <v>Manufactura avanzada</v>
          </cell>
          <cell r="J140" t="str">
            <v>Manufactura avanzada</v>
          </cell>
          <cell r="K140" t="str">
            <v>Transformación 4.0 de la industria navarra</v>
          </cell>
          <cell r="L140" t="str">
            <v>Transformación 4.0 de la industria navarra</v>
          </cell>
          <cell r="M140" t="str">
            <v>Organismo de investigación</v>
          </cell>
          <cell r="N140" t="str">
            <v>Organismo de investigación</v>
          </cell>
          <cell r="O140" t="str">
            <v>Organismo de investigación</v>
          </cell>
          <cell r="P140" t="str">
            <v>Organismo de investigación</v>
          </cell>
          <cell r="Q140" t="str">
            <v>Transferencia del conocimiento</v>
          </cell>
          <cell r="R140" t="str">
            <v>Transferencia del conocimiento</v>
          </cell>
          <cell r="S140" t="str">
            <v>NO</v>
          </cell>
          <cell r="T140" t="str">
            <v>NO</v>
          </cell>
          <cell r="U140" t="str">
            <v>Universidad Publica</v>
          </cell>
          <cell r="V140" t="str">
            <v>NO</v>
          </cell>
          <cell r="W140" t="str">
            <v>NO</v>
          </cell>
          <cell r="Z140" t="str">
            <v>No, no tenemos intención de patentar</v>
          </cell>
          <cell r="AA140" t="str">
            <v>No, no tenemos intención de patentar</v>
          </cell>
          <cell r="AB140" t="str">
            <v>Sí, la publicación prevista es en revista científica</v>
          </cell>
          <cell r="AC140" t="str">
            <v>Sí, la publicación prevista es en revista científica</v>
          </cell>
          <cell r="AD140" t="str">
            <v>False</v>
          </cell>
        </row>
        <row r="141">
          <cell r="A141" t="str">
            <v>0011-1365-2020-000140</v>
          </cell>
          <cell r="B141" t="str">
            <v>INFLUENCIA DE LA DIVERSIDAD Y LA COMPOSICIÓN DE LA MICROBIOTA EN EL DESARROLLO DE HÍGADO GRASO PEDIÁTRICO: IDENTIFICACIÓN DE BIOMARCADORES y DESARROLLO DE TERAPIA PERSONALIZADA: PROYECTO MICROKID</v>
          </cell>
          <cell r="C141">
            <v>39839</v>
          </cell>
          <cell r="D141">
            <v>44075</v>
          </cell>
          <cell r="E141">
            <v>44651</v>
          </cell>
          <cell r="F141" t="str">
            <v>vicerrectorado.investigacion@unavarra.es</v>
          </cell>
          <cell r="G141" t="str">
            <v>Salud</v>
          </cell>
          <cell r="H141" t="str">
            <v>Salud</v>
          </cell>
          <cell r="I141" t="str">
            <v>Biotecnología</v>
          </cell>
          <cell r="J141" t="str">
            <v>Biotecnología</v>
          </cell>
          <cell r="K141" t="str">
            <v>Desarrollo de la medicina personalizada</v>
          </cell>
          <cell r="L141" t="str">
            <v>Desarrollo de la medicina personalizada</v>
          </cell>
          <cell r="M141" t="str">
            <v>Organismo de investigación</v>
          </cell>
          <cell r="N141" t="str">
            <v>Organismo de investigación</v>
          </cell>
          <cell r="O141" t="str">
            <v>Organismo de investigación</v>
          </cell>
          <cell r="P141" t="str">
            <v>Organismo de investigación</v>
          </cell>
          <cell r="Q141" t="str">
            <v>Transferencia del conocimiento</v>
          </cell>
          <cell r="R141" t="str">
            <v>Transferencia del conocimiento</v>
          </cell>
          <cell r="S141" t="str">
            <v>NO</v>
          </cell>
          <cell r="T141" t="str">
            <v>NO</v>
          </cell>
          <cell r="U141" t="str">
            <v>Universidad Publica</v>
          </cell>
          <cell r="V141" t="str">
            <v>NO</v>
          </cell>
          <cell r="W141" t="str">
            <v>NO</v>
          </cell>
          <cell r="Z141" t="str">
            <v>No, no tenemos intención de patentar</v>
          </cell>
          <cell r="AA141" t="str">
            <v>No, no tenemos intención de patentar</v>
          </cell>
          <cell r="AB141" t="str">
            <v>Sí, la publicación prevista es en revista científica q1</v>
          </cell>
          <cell r="AC141" t="str">
            <v>Sí, la publicación prevista es en revista científica q1</v>
          </cell>
          <cell r="AD141" t="str">
            <v>False</v>
          </cell>
        </row>
        <row r="142">
          <cell r="A142" t="str">
            <v>0011-1365-2020-000141</v>
          </cell>
          <cell r="B142" t="str">
            <v>KITS DE CARROCERÍA DE CAMIÓN CON APERTURAS ERGONÓMICAS DE ALTA SEGURIDAD PARA LA INTEGRACIÓN - ERGOCAR</v>
          </cell>
          <cell r="C142">
            <v>188081.5</v>
          </cell>
          <cell r="D142">
            <v>43922</v>
          </cell>
          <cell r="E142">
            <v>44651</v>
          </cell>
          <cell r="F142" t="str">
            <v>direccion@auxiliarcarrocera.com; administracion@auxiliarcarrocera.com</v>
          </cell>
          <cell r="G142" t="str">
            <v>Automoción y mecatrónica</v>
          </cell>
          <cell r="H142" t="str">
            <v>Automoción y mecatrónica</v>
          </cell>
          <cell r="I142" t="str">
            <v>Otros</v>
          </cell>
          <cell r="J142" t="str">
            <v>Otros</v>
          </cell>
          <cell r="K142" t="str">
            <v>Otros</v>
          </cell>
          <cell r="L142" t="str">
            <v>Otros</v>
          </cell>
          <cell r="M142" t="str">
            <v>Empresa</v>
          </cell>
          <cell r="N142" t="str">
            <v>Empresa</v>
          </cell>
          <cell r="O142" t="str">
            <v>Pequeña</v>
          </cell>
          <cell r="P142" t="str">
            <v>Pequeña</v>
          </cell>
          <cell r="Q142" t="str">
            <v>Transferencia del conocimiento</v>
          </cell>
          <cell r="R142" t="str">
            <v>Transferencia del conocimiento</v>
          </cell>
          <cell r="S142" t="str">
            <v>SI</v>
          </cell>
          <cell r="T142" t="str">
            <v>SI</v>
          </cell>
          <cell r="V142" t="str">
            <v>NO</v>
          </cell>
          <cell r="W142" t="str">
            <v>NO</v>
          </cell>
          <cell r="Z142" t="str">
            <v>Sí, la patente prevista es nacional</v>
          </cell>
          <cell r="AA142" t="str">
            <v>Sí, la patente prevista es nacional</v>
          </cell>
          <cell r="AB142" t="str">
            <v>No, no tenemos prevista publicación</v>
          </cell>
          <cell r="AC142" t="str">
            <v>No, no tenemos prevista publicación</v>
          </cell>
          <cell r="AD142" t="str">
            <v>False</v>
          </cell>
        </row>
        <row r="143">
          <cell r="A143" t="str">
            <v>0011-1365-2020-000142</v>
          </cell>
          <cell r="B143" t="str">
            <v>MOLDE DE MULTIPOSICION SECUENCIADA PARA MOLDEADO MULTIMATERIAL POR INYECCIÓN - MULTINJECT</v>
          </cell>
          <cell r="C143">
            <v>90202</v>
          </cell>
          <cell r="D143">
            <v>43922</v>
          </cell>
          <cell r="E143">
            <v>44651</v>
          </cell>
          <cell r="F143" t="str">
            <v>vicerrectorado.investigacion@unavarra.es</v>
          </cell>
          <cell r="G143" t="str">
            <v>Industrias creativas y digitales</v>
          </cell>
          <cell r="H143" t="str">
            <v>Industrias creativas y digitales</v>
          </cell>
          <cell r="I143" t="str">
            <v>Manufactura avanzada</v>
          </cell>
          <cell r="J143" t="str">
            <v>Manufactura avanzada</v>
          </cell>
          <cell r="K143" t="str">
            <v>Industrias creativas y digitales</v>
          </cell>
          <cell r="L143" t="str">
            <v>Industrias creativas y digitales</v>
          </cell>
          <cell r="M143" t="str">
            <v>Organismo de investigación</v>
          </cell>
          <cell r="N143" t="str">
            <v>Organismo de investigación</v>
          </cell>
          <cell r="O143" t="str">
            <v>Organismo de investigación</v>
          </cell>
          <cell r="P143" t="str">
            <v>Organismo de investigación</v>
          </cell>
          <cell r="Q143" t="str">
            <v>Transferencia del conocimiento</v>
          </cell>
          <cell r="R143" t="str">
            <v>Transferencia del conocimiento</v>
          </cell>
          <cell r="S143" t="str">
            <v>NO</v>
          </cell>
          <cell r="T143" t="str">
            <v>NO</v>
          </cell>
          <cell r="U143" t="str">
            <v>Universidad Publica</v>
          </cell>
          <cell r="V143" t="str">
            <v>NO</v>
          </cell>
          <cell r="W143" t="str">
            <v>NO</v>
          </cell>
          <cell r="Z143" t="str">
            <v>No, no tenemos intención de patentar</v>
          </cell>
          <cell r="AA143" t="str">
            <v>No, no tenemos intención de patentar</v>
          </cell>
          <cell r="AB143" t="str">
            <v>Sí, la publicación prevista es en revista científica</v>
          </cell>
          <cell r="AC143" t="str">
            <v>Sí, la publicación prevista es en revista científica</v>
          </cell>
          <cell r="AD143" t="str">
            <v>False</v>
          </cell>
        </row>
        <row r="144">
          <cell r="A144" t="str">
            <v>0011-1365-2020-000143</v>
          </cell>
          <cell r="B144" t="str">
            <v>Desarrollo innovador de antenas planas para las nuevas aplicaciones SatCOM y de New Space (NEWPASS)</v>
          </cell>
          <cell r="C144">
            <v>100059</v>
          </cell>
          <cell r="D144">
            <v>43922</v>
          </cell>
          <cell r="E144">
            <v>44651</v>
          </cell>
          <cell r="F144" t="str">
            <v>vicerrectorado.investigacion@unavarra.es</v>
          </cell>
          <cell r="G144" t="str">
            <v>Automoción y mecatrónica</v>
          </cell>
          <cell r="H144" t="str">
            <v>Automoción y mecatrónica</v>
          </cell>
          <cell r="I144" t="str">
            <v>Manufactura avanzada</v>
          </cell>
          <cell r="J144" t="str">
            <v>Manufactura avanzada</v>
          </cell>
          <cell r="K144" t="str">
            <v>Transformación 4.0 de la industria navarra</v>
          </cell>
          <cell r="L144" t="str">
            <v>Transformación 4.0 de la industria navarra</v>
          </cell>
          <cell r="M144" t="str">
            <v>Organismo de investigación</v>
          </cell>
          <cell r="N144" t="str">
            <v>Organismo de investigación</v>
          </cell>
          <cell r="O144" t="str">
            <v>Organismo de investigación</v>
          </cell>
          <cell r="P144" t="str">
            <v>Organismo de investigación</v>
          </cell>
          <cell r="Q144" t="str">
            <v>Transferencia del conocimiento</v>
          </cell>
          <cell r="R144" t="str">
            <v>Transferencia del conocimiento</v>
          </cell>
          <cell r="S144" t="str">
            <v>NO</v>
          </cell>
          <cell r="T144" t="str">
            <v>NO</v>
          </cell>
          <cell r="U144" t="str">
            <v>Universidad Publica</v>
          </cell>
          <cell r="V144" t="str">
            <v>NO</v>
          </cell>
          <cell r="W144" t="str">
            <v>NO</v>
          </cell>
          <cell r="Z144" t="str">
            <v>No, no tenemos intención de patentar</v>
          </cell>
          <cell r="AA144" t="str">
            <v>No, no tenemos intención de patentar</v>
          </cell>
          <cell r="AB144" t="str">
            <v>No, no tenemos prevista publicación</v>
          </cell>
          <cell r="AC144" t="str">
            <v>No, no tenemos prevista publicación</v>
          </cell>
          <cell r="AD144" t="str">
            <v>False</v>
          </cell>
        </row>
        <row r="145">
          <cell r="A145" t="str">
            <v>0011-1365-2020-000144</v>
          </cell>
          <cell r="B145" t="str">
            <v>PLACAS AISLANTES DE ECONOMÍA CIRCULAR - PLACIR</v>
          </cell>
          <cell r="C145">
            <v>131716</v>
          </cell>
          <cell r="D145">
            <v>43922</v>
          </cell>
          <cell r="E145">
            <v>44651</v>
          </cell>
          <cell r="F145" t="str">
            <v>vicerrectorado.investigacion@unavarra.es</v>
          </cell>
          <cell r="G145" t="str">
            <v>Energías renovables y recursos</v>
          </cell>
          <cell r="H145" t="str">
            <v>Energías renovables y recursos</v>
          </cell>
          <cell r="I145" t="str">
            <v>Otros</v>
          </cell>
          <cell r="J145" t="str">
            <v>Otros</v>
          </cell>
          <cell r="K145" t="str">
            <v>Promover la economía circular</v>
          </cell>
          <cell r="L145" t="str">
            <v>Promover la economía circular</v>
          </cell>
          <cell r="M145" t="str">
            <v>Organismo de investigación</v>
          </cell>
          <cell r="N145" t="str">
            <v>Organismo de investigación</v>
          </cell>
          <cell r="O145" t="str">
            <v>Organismo de investigación</v>
          </cell>
          <cell r="P145" t="str">
            <v>Organismo de investigación</v>
          </cell>
          <cell r="Q145" t="str">
            <v>Transferencia del conocimiento</v>
          </cell>
          <cell r="R145" t="str">
            <v>Transferencia del conocimiento</v>
          </cell>
          <cell r="S145" t="str">
            <v>NO</v>
          </cell>
          <cell r="T145" t="str">
            <v>NO</v>
          </cell>
          <cell r="U145" t="str">
            <v>Universidad Publica</v>
          </cell>
          <cell r="V145" t="str">
            <v>NO</v>
          </cell>
          <cell r="W145" t="str">
            <v>NO</v>
          </cell>
          <cell r="Z145" t="str">
            <v>No, no tenemos intención de patentar</v>
          </cell>
          <cell r="AA145" t="str">
            <v>No, no tenemos intención de patentar</v>
          </cell>
          <cell r="AB145" t="str">
            <v>Sí, la publicación prevista es en revista científica q1</v>
          </cell>
          <cell r="AC145" t="str">
            <v>Sí, la publicación prevista es en revista científica q1</v>
          </cell>
          <cell r="AD145" t="str">
            <v>False</v>
          </cell>
        </row>
        <row r="146">
          <cell r="A146" t="str">
            <v>0011-1365-2020-000145</v>
          </cell>
          <cell r="B146" t="str">
            <v>EQUIPO PARA EL POSICIONAMIENTO SUBMÉTRICO DIFERENCIAL - PSD</v>
          </cell>
          <cell r="C146">
            <v>85549</v>
          </cell>
          <cell r="D146">
            <v>43922</v>
          </cell>
          <cell r="E146">
            <v>44651</v>
          </cell>
          <cell r="F146" t="str">
            <v>vicerrectorado.investigacion@unavarra.es</v>
          </cell>
          <cell r="G146" t="str">
            <v>Industrias creativas y digitales</v>
          </cell>
          <cell r="H146" t="str">
            <v>Industrias creativas y digitales</v>
          </cell>
          <cell r="I146" t="str">
            <v>Tic</v>
          </cell>
          <cell r="J146" t="str">
            <v>Tic</v>
          </cell>
          <cell r="K146" t="str">
            <v>Industrias creativas y digitales</v>
          </cell>
          <cell r="L146" t="str">
            <v>Industrias creativas y digitales</v>
          </cell>
          <cell r="M146" t="str">
            <v>Organismo de investigación</v>
          </cell>
          <cell r="N146" t="str">
            <v>Organismo de investigación</v>
          </cell>
          <cell r="O146" t="str">
            <v>Organismo de investigación</v>
          </cell>
          <cell r="P146" t="str">
            <v>Organismo de investigación</v>
          </cell>
          <cell r="Q146" t="str">
            <v>Transferencia del conocimiento</v>
          </cell>
          <cell r="R146" t="str">
            <v>Transferencia del conocimiento</v>
          </cell>
          <cell r="S146" t="str">
            <v>NO</v>
          </cell>
          <cell r="T146" t="str">
            <v>NO</v>
          </cell>
          <cell r="U146" t="str">
            <v>Universidad Publica</v>
          </cell>
          <cell r="V146" t="str">
            <v>NO</v>
          </cell>
          <cell r="W146" t="str">
            <v>NO</v>
          </cell>
          <cell r="Z146" t="str">
            <v>No, no tenemos intención de patentar</v>
          </cell>
          <cell r="AA146" t="str">
            <v>No, no tenemos intención de patentar</v>
          </cell>
          <cell r="AB146" t="str">
            <v>Sí, la publicación prevista es en revista científica q1</v>
          </cell>
          <cell r="AC146" t="str">
            <v>Sí, la publicación prevista es en revista científica q1</v>
          </cell>
          <cell r="AD146" t="str">
            <v>False</v>
          </cell>
        </row>
        <row r="147">
          <cell r="A147" t="str">
            <v>0011-1365-2020-000146</v>
          </cell>
          <cell r="B147" t="str">
            <v>Operating Room Virtual Assistant (ORVA)</v>
          </cell>
          <cell r="C147">
            <v>152232.78</v>
          </cell>
          <cell r="D147">
            <v>43922</v>
          </cell>
          <cell r="E147">
            <v>44469</v>
          </cell>
          <cell r="F147" t="str">
            <v>jpl@tedcas.com</v>
          </cell>
          <cell r="G147" t="str">
            <v>Salud</v>
          </cell>
          <cell r="H147" t="str">
            <v>Salud</v>
          </cell>
          <cell r="I147" t="str">
            <v>Tic</v>
          </cell>
          <cell r="J147" t="str">
            <v>Tic</v>
          </cell>
          <cell r="K147" t="str">
            <v>Aumento de la eficiencia de los servicios sanitarios</v>
          </cell>
          <cell r="L147" t="str">
            <v>Aumento de la eficiencia de los servicios sanitarios</v>
          </cell>
          <cell r="M147" t="str">
            <v>Empresa</v>
          </cell>
          <cell r="N147" t="str">
            <v>Empresa</v>
          </cell>
          <cell r="O147" t="str">
            <v>Pequeña</v>
          </cell>
          <cell r="P147" t="str">
            <v>Pequeña</v>
          </cell>
          <cell r="Q147" t="str">
            <v>Individual</v>
          </cell>
          <cell r="R147" t="str">
            <v>Individual</v>
          </cell>
          <cell r="S147" t="str">
            <v>NO</v>
          </cell>
          <cell r="T147" t="str">
            <v>NO</v>
          </cell>
          <cell r="U147" t="str">
            <v>No aplica</v>
          </cell>
          <cell r="V147" t="str">
            <v>NO</v>
          </cell>
          <cell r="W147" t="str">
            <v>NO</v>
          </cell>
          <cell r="Z147" t="str">
            <v>No, no tenemos intención de patentar</v>
          </cell>
          <cell r="AA147" t="str">
            <v>No, no tenemos intención de patentar</v>
          </cell>
          <cell r="AB147" t="str">
            <v>No, no tenemos prevista publicación</v>
          </cell>
          <cell r="AC147" t="str">
            <v>No, no tenemos prevista publicación</v>
          </cell>
          <cell r="AD147" t="str">
            <v>False</v>
          </cell>
        </row>
        <row r="148">
          <cell r="A148" t="str">
            <v>0011-1365-2020-000147</v>
          </cell>
          <cell r="B148" t="str">
            <v xml:space="preserve">:   INVESTIGACIÓN EN DISEÑO, MATERIALES Y TRATAMIENTOS AVANZADOS PARA LA MEJORA DEL PROCESO DE REPELADO </v>
          </cell>
          <cell r="C148">
            <v>70545</v>
          </cell>
          <cell r="D148">
            <v>43952</v>
          </cell>
          <cell r="E148">
            <v>44561</v>
          </cell>
          <cell r="F148" t="str">
            <v>vicerrectorado.investigacion@unavarra.es</v>
          </cell>
          <cell r="G148" t="str">
            <v>Automoción y mecatrónica</v>
          </cell>
          <cell r="H148" t="str">
            <v>Automoción y mecatrónica</v>
          </cell>
          <cell r="I148" t="str">
            <v>Manufactura avanzada</v>
          </cell>
          <cell r="J148" t="str">
            <v>Manufactura avanzada</v>
          </cell>
          <cell r="K148" t="str">
            <v>Transformación 4.0 de la industria navarra</v>
          </cell>
          <cell r="L148" t="str">
            <v>Transformación 4.0 de la industria navarra</v>
          </cell>
          <cell r="M148" t="str">
            <v>Organismo de investigación</v>
          </cell>
          <cell r="N148" t="str">
            <v>Organismo de investigación</v>
          </cell>
          <cell r="O148" t="str">
            <v>Organismo de investigación</v>
          </cell>
          <cell r="P148" t="str">
            <v>Organismo de investigación</v>
          </cell>
          <cell r="Q148" t="str">
            <v>Transferencia del conocimiento</v>
          </cell>
          <cell r="R148" t="str">
            <v>Transferencia del conocimiento</v>
          </cell>
          <cell r="S148" t="str">
            <v>NO</v>
          </cell>
          <cell r="T148" t="str">
            <v>NO</v>
          </cell>
          <cell r="U148" t="str">
            <v>Universidad Publica</v>
          </cell>
          <cell r="V148" t="str">
            <v>NO</v>
          </cell>
          <cell r="W148" t="str">
            <v>NO</v>
          </cell>
          <cell r="Z148" t="str">
            <v>No, no tenemos intención de patentar</v>
          </cell>
          <cell r="AA148" t="str">
            <v>No, no tenemos intención de patentar</v>
          </cell>
          <cell r="AB148" t="str">
            <v>Sí, la publicación prevista es en revista científica q1</v>
          </cell>
          <cell r="AC148" t="str">
            <v>Sí, la publicación prevista es en revista científica q1</v>
          </cell>
          <cell r="AD148" t="str">
            <v>False</v>
          </cell>
        </row>
        <row r="149">
          <cell r="A149" t="str">
            <v>0011-1365-2020-000148</v>
          </cell>
          <cell r="B149" t="str">
            <v xml:space="preserve"> SmartSki</v>
          </cell>
          <cell r="C149">
            <v>18100</v>
          </cell>
          <cell r="D149">
            <v>43922</v>
          </cell>
          <cell r="E149">
            <v>44651</v>
          </cell>
          <cell r="F149" t="str">
            <v>vicerrectorado.investigacion@unavarra.es</v>
          </cell>
          <cell r="G149" t="str">
            <v>Automoción y mecatrónica</v>
          </cell>
          <cell r="H149" t="str">
            <v>Automoción y mecatrónica</v>
          </cell>
          <cell r="I149" t="str">
            <v>Manufactura avanzada</v>
          </cell>
          <cell r="J149" t="str">
            <v>Manufactura avanzada</v>
          </cell>
          <cell r="K149" t="str">
            <v>Transformación 4.0 de la industria navarra</v>
          </cell>
          <cell r="L149" t="str">
            <v>Transformación 4.0 de la industria navarra</v>
          </cell>
          <cell r="M149" t="str">
            <v>Organismo de investigación</v>
          </cell>
          <cell r="N149" t="str">
            <v>Organismo de investigación</v>
          </cell>
          <cell r="O149" t="str">
            <v>Organismo de investigación</v>
          </cell>
          <cell r="P149" t="str">
            <v>Organismo de investigación</v>
          </cell>
          <cell r="Q149" t="str">
            <v>Transferencia del conocimiento</v>
          </cell>
          <cell r="R149" t="str">
            <v>Transferencia del conocimiento</v>
          </cell>
          <cell r="S149" t="str">
            <v>NO</v>
          </cell>
          <cell r="T149" t="str">
            <v>NO</v>
          </cell>
          <cell r="U149" t="str">
            <v>Universidad Publica</v>
          </cell>
          <cell r="V149" t="str">
            <v>NO</v>
          </cell>
          <cell r="W149" t="str">
            <v>NO</v>
          </cell>
          <cell r="Z149" t="str">
            <v>Sí, la patente prevista es europea</v>
          </cell>
          <cell r="AA149" t="str">
            <v>Sí, la patente prevista es europea</v>
          </cell>
          <cell r="AB149" t="str">
            <v>Sí, la publicación prevista es en revista científica q1</v>
          </cell>
          <cell r="AC149" t="str">
            <v>Sí, la publicación prevista es en revista científica q1</v>
          </cell>
          <cell r="AD149" t="str">
            <v>False</v>
          </cell>
        </row>
        <row r="150">
          <cell r="A150" t="str">
            <v>0011-1365-2020-000149</v>
          </cell>
          <cell r="B150" t="str">
            <v>NUEVA TERAPIA FÁGICA FRENTE A PSEUDOMONAS AERUGINOSA Y ENTEROBACTERIAS MULTIRRESISTENTES A ANTIBIÓTICOS</v>
          </cell>
          <cell r="C150">
            <v>417446.21</v>
          </cell>
          <cell r="D150">
            <v>43922</v>
          </cell>
          <cell r="E150">
            <v>44651</v>
          </cell>
          <cell r="F150" t="str">
            <v>rdiez@telumther.com</v>
          </cell>
          <cell r="G150" t="str">
            <v>Salud</v>
          </cell>
          <cell r="H150" t="str">
            <v>Salud</v>
          </cell>
          <cell r="I150" t="str">
            <v>Biotecnología</v>
          </cell>
          <cell r="J150" t="str">
            <v>Biotecnología</v>
          </cell>
          <cell r="K150" t="str">
            <v>Desarrollo de la medicina personalizada</v>
          </cell>
          <cell r="L150" t="str">
            <v>Desarrollo de la medicina personalizada</v>
          </cell>
          <cell r="M150" t="str">
            <v>Empresa</v>
          </cell>
          <cell r="N150" t="str">
            <v>Empresa</v>
          </cell>
          <cell r="O150" t="str">
            <v>Pequeña</v>
          </cell>
          <cell r="P150" t="str">
            <v>Pequeña</v>
          </cell>
          <cell r="Q150" t="str">
            <v>Individual</v>
          </cell>
          <cell r="R150" t="str">
            <v>Individual</v>
          </cell>
          <cell r="S150" t="str">
            <v>NO</v>
          </cell>
          <cell r="T150" t="str">
            <v>NO</v>
          </cell>
          <cell r="U150" t="str">
            <v>N/A</v>
          </cell>
          <cell r="V150" t="str">
            <v>SI</v>
          </cell>
          <cell r="W150" t="str">
            <v>SI</v>
          </cell>
          <cell r="Y150" t="str">
            <v>Ayudas a la Contratación de Personal Tecnológico e Investigador de Gobierno de Navarra 2020</v>
          </cell>
          <cell r="Z150" t="str">
            <v>Sí, la patente prevista es europea</v>
          </cell>
          <cell r="AA150" t="str">
            <v>Sí, la patente prevista es europea</v>
          </cell>
          <cell r="AB150" t="str">
            <v>Sí, la publicación prevista es en revista científica q1</v>
          </cell>
          <cell r="AC150" t="str">
            <v>Sí, la publicación prevista es en revista científica q1</v>
          </cell>
          <cell r="AD150" t="str">
            <v>False</v>
          </cell>
        </row>
        <row r="151">
          <cell r="A151" t="str">
            <v>0011-1365-2020-000150</v>
          </cell>
          <cell r="B151" t="str">
            <v>GESTIÓN DEL VACÍO PARA LA AUTOMATIZACIÓN DE STOCKS</v>
          </cell>
          <cell r="C151">
            <v>196231.5</v>
          </cell>
          <cell r="D151">
            <v>43922</v>
          </cell>
          <cell r="E151">
            <v>44651</v>
          </cell>
          <cell r="F151" t="str">
            <v>mikelmeoki@embeblue.com</v>
          </cell>
          <cell r="G151" t="str">
            <v>Automoción y mecatrónica</v>
          </cell>
          <cell r="H151" t="str">
            <v>Automoción y mecatrónica</v>
          </cell>
          <cell r="I151" t="str">
            <v>Tic</v>
          </cell>
          <cell r="J151" t="str">
            <v>Tic</v>
          </cell>
          <cell r="K151" t="str">
            <v>Transformación 4.0 de la industria navarra</v>
          </cell>
          <cell r="L151" t="str">
            <v>Transformación 4.0 de la industria navarra</v>
          </cell>
          <cell r="M151" t="str">
            <v>Empresa</v>
          </cell>
          <cell r="N151" t="str">
            <v>Empresa</v>
          </cell>
          <cell r="O151" t="str">
            <v>Pequeña</v>
          </cell>
          <cell r="P151" t="str">
            <v>Pequeña</v>
          </cell>
          <cell r="Q151" t="str">
            <v>Cooperativo</v>
          </cell>
          <cell r="R151" t="str">
            <v>Cooperativo</v>
          </cell>
          <cell r="S151" t="str">
            <v>SI</v>
          </cell>
          <cell r="T151" t="str">
            <v>SI</v>
          </cell>
          <cell r="V151" t="str">
            <v>NO</v>
          </cell>
          <cell r="W151" t="str">
            <v>NO</v>
          </cell>
          <cell r="Z151" t="str">
            <v>Sí, la patente prevista es europea</v>
          </cell>
          <cell r="AA151" t="str">
            <v>Sí, la patente prevista es europea</v>
          </cell>
          <cell r="AB151" t="str">
            <v>No, no tenemos prevista publicación</v>
          </cell>
          <cell r="AC151" t="str">
            <v>No, no tenemos prevista publicación</v>
          </cell>
          <cell r="AD151" t="str">
            <v>False</v>
          </cell>
        </row>
        <row r="152">
          <cell r="A152" t="str">
            <v>0011-1365-2020-000151</v>
          </cell>
          <cell r="B152" t="str">
            <v>DESARROLLO DE PRODUCTO VEGETAL FERMENTADO DE ALTO VALOR NUTRITIVO Y ORGANOLÉPTICO Y CON APLICACIÓN COMO APERITIVO EXTRUIDO (VEGGIE-FERM)</v>
          </cell>
          <cell r="C152">
            <v>123543</v>
          </cell>
          <cell r="D152">
            <v>44013</v>
          </cell>
          <cell r="E152">
            <v>44651</v>
          </cell>
          <cell r="F152" t="str">
            <v>vicerrectorado.investigacion@unavarra.es</v>
          </cell>
          <cell r="G152" t="str">
            <v>Cadena alimentaria</v>
          </cell>
          <cell r="H152" t="str">
            <v>Cadena alimentaria</v>
          </cell>
          <cell r="I152" t="str">
            <v>Otros</v>
          </cell>
          <cell r="J152" t="str">
            <v>Otros</v>
          </cell>
          <cell r="K152" t="str">
            <v>Apuesta por la alimentación saludable</v>
          </cell>
          <cell r="L152" t="str">
            <v>Apuesta por la alimentación saludable</v>
          </cell>
          <cell r="M152" t="str">
            <v>Organismo de investigación</v>
          </cell>
          <cell r="N152" t="str">
            <v>Organismo de investigación</v>
          </cell>
          <cell r="O152" t="str">
            <v>Organismo de investigación</v>
          </cell>
          <cell r="P152" t="str">
            <v>Organismo de investigación</v>
          </cell>
          <cell r="Q152" t="str">
            <v>Transferencia del conocimiento</v>
          </cell>
          <cell r="R152" t="str">
            <v>Transferencia del conocimiento</v>
          </cell>
          <cell r="S152" t="str">
            <v>NO</v>
          </cell>
          <cell r="T152" t="str">
            <v>NO</v>
          </cell>
          <cell r="U152" t="str">
            <v>Universidad Publica</v>
          </cell>
          <cell r="V152" t="str">
            <v>NO</v>
          </cell>
          <cell r="W152" t="str">
            <v>NO</v>
          </cell>
          <cell r="Z152" t="str">
            <v>No, no tenemos intención de patentar</v>
          </cell>
          <cell r="AA152" t="str">
            <v>No, no tenemos intención de patentar</v>
          </cell>
          <cell r="AB152" t="str">
            <v>Sí, la publicación prevista es en revista científica q1</v>
          </cell>
          <cell r="AC152" t="str">
            <v>Sí, la publicación prevista es en revista científica q1</v>
          </cell>
          <cell r="AD152" t="str">
            <v>False</v>
          </cell>
        </row>
        <row r="153">
          <cell r="A153" t="str">
            <v>0011-1365-2020-000152</v>
          </cell>
          <cell r="B153" t="str">
            <v>DESARROLLO DE UNA NUEVA GAMA DE PRODUCTOS APTOS PARA CELÍACOS Y CON ENVASES SOSTENIBLES</v>
          </cell>
          <cell r="C153">
            <v>132556.95000000001</v>
          </cell>
          <cell r="D153">
            <v>43922</v>
          </cell>
          <cell r="E153">
            <v>44651</v>
          </cell>
          <cell r="F153" t="str">
            <v>ibaztan@precocinadosfrisa.com</v>
          </cell>
          <cell r="G153" t="str">
            <v>Cadena alimentaria</v>
          </cell>
          <cell r="H153" t="str">
            <v>Cadena alimentaria</v>
          </cell>
          <cell r="I153" t="str">
            <v>Biotecnología</v>
          </cell>
          <cell r="J153" t="str">
            <v>Biotecnología</v>
          </cell>
          <cell r="K153" t="str">
            <v>Vertebrar la cadena de valor alimentaria</v>
          </cell>
          <cell r="L153" t="str">
            <v>Vertebrar la cadena de valor alimentaria</v>
          </cell>
          <cell r="M153" t="str">
            <v>Empresa</v>
          </cell>
          <cell r="N153" t="str">
            <v>Empresa</v>
          </cell>
          <cell r="O153" t="str">
            <v>Grande</v>
          </cell>
          <cell r="P153" t="str">
            <v>Grande</v>
          </cell>
          <cell r="Q153" t="str">
            <v>Individual</v>
          </cell>
          <cell r="R153" t="str">
            <v>Individual</v>
          </cell>
          <cell r="S153" t="str">
            <v>SI</v>
          </cell>
          <cell r="T153" t="str">
            <v>SI</v>
          </cell>
          <cell r="U153" t="str">
            <v>15-A-108-00041387</v>
          </cell>
          <cell r="V153" t="str">
            <v>NO</v>
          </cell>
          <cell r="W153" t="str">
            <v>NO</v>
          </cell>
          <cell r="Z153" t="str">
            <v>No, no tenemos intención de patentar</v>
          </cell>
          <cell r="AA153" t="str">
            <v>No, no tenemos intención de patentar</v>
          </cell>
          <cell r="AB153" t="str">
            <v>No, no tenemos prevista publicación</v>
          </cell>
          <cell r="AC153" t="str">
            <v>No, no tenemos prevista publicación</v>
          </cell>
          <cell r="AD153" t="str">
            <v>False</v>
          </cell>
        </row>
        <row r="154">
          <cell r="A154" t="str">
            <v>0011-1365-2020-000153</v>
          </cell>
          <cell r="B154" t="str">
            <v>Análisis de pedidos de cliente mediante Machine Learning y estadística</v>
          </cell>
          <cell r="C154">
            <v>53574</v>
          </cell>
          <cell r="D154">
            <v>43922</v>
          </cell>
          <cell r="E154">
            <v>44286</v>
          </cell>
          <cell r="F154" t="str">
            <v>info.bordnetze@sebn.com</v>
          </cell>
          <cell r="G154" t="str">
            <v>Automoción y mecatrónica</v>
          </cell>
          <cell r="H154" t="str">
            <v>Automoción y mecatrónica</v>
          </cell>
          <cell r="I154" t="str">
            <v>Tic</v>
          </cell>
          <cell r="J154" t="str">
            <v>Tic</v>
          </cell>
          <cell r="K154" t="str">
            <v>Transformación 4.0 de la industria navarra</v>
          </cell>
          <cell r="L154" t="str">
            <v>Transformación 4.0 de la industria navarra</v>
          </cell>
          <cell r="M154" t="str">
            <v>Empresa</v>
          </cell>
          <cell r="N154" t="str">
            <v>Empresa</v>
          </cell>
          <cell r="O154" t="str">
            <v>Grande</v>
          </cell>
          <cell r="P154" t="str">
            <v>Grande</v>
          </cell>
          <cell r="Q154" t="str">
            <v>Individual</v>
          </cell>
          <cell r="R154" t="str">
            <v>Individual</v>
          </cell>
          <cell r="S154" t="str">
            <v>NO</v>
          </cell>
          <cell r="T154" t="str">
            <v>NO</v>
          </cell>
          <cell r="U154" t="str">
            <v>No está obligada.</v>
          </cell>
          <cell r="V154" t="str">
            <v>NO</v>
          </cell>
          <cell r="W154" t="str">
            <v>NO</v>
          </cell>
          <cell r="Z154" t="str">
            <v>No, no tenemos intención de patentar</v>
          </cell>
          <cell r="AA154" t="str">
            <v>No, no tenemos intención de patentar</v>
          </cell>
          <cell r="AB154" t="str">
            <v>No, no tenemos prevista publicación</v>
          </cell>
          <cell r="AC154" t="str">
            <v>No, no tenemos prevista publicación</v>
          </cell>
          <cell r="AD154" t="str">
            <v>True</v>
          </cell>
        </row>
        <row r="155">
          <cell r="A155" t="str">
            <v>0011-1365-2020-000154</v>
          </cell>
          <cell r="B155" t="str">
            <v>LUPULINA FRESCA PARA CERVEZAS DE ALTA CALIDAD - FRESHLUP</v>
          </cell>
          <cell r="C155">
            <v>132357</v>
          </cell>
          <cell r="D155">
            <v>43922</v>
          </cell>
          <cell r="E155">
            <v>44651</v>
          </cell>
          <cell r="F155" t="str">
            <v>juanmontesdecristalyacero@gmail.com</v>
          </cell>
          <cell r="G155" t="str">
            <v>Cadena alimentaria</v>
          </cell>
          <cell r="H155" t="str">
            <v>Cadena alimentaria</v>
          </cell>
          <cell r="I155" t="str">
            <v>Biotecnología</v>
          </cell>
          <cell r="J155" t="str">
            <v>Biotecnología</v>
          </cell>
          <cell r="K155" t="str">
            <v>Vertebrar la cadena de valor alimentaria</v>
          </cell>
          <cell r="L155" t="str">
            <v>Vertebrar la cadena de valor alimentaria</v>
          </cell>
          <cell r="M155" t="str">
            <v>Empresa</v>
          </cell>
          <cell r="N155" t="str">
            <v>Empresa</v>
          </cell>
          <cell r="O155" t="str">
            <v>Pequeña</v>
          </cell>
          <cell r="P155" t="str">
            <v>Pequeña</v>
          </cell>
          <cell r="Q155" t="str">
            <v>Transferencia del conocimiento</v>
          </cell>
          <cell r="R155" t="str">
            <v>Transferencia del conocimiento</v>
          </cell>
          <cell r="S155" t="str">
            <v>SI</v>
          </cell>
          <cell r="T155" t="str">
            <v>SI</v>
          </cell>
          <cell r="V155" t="str">
            <v>NO</v>
          </cell>
          <cell r="W155" t="str">
            <v>NO</v>
          </cell>
          <cell r="Z155" t="str">
            <v>Sí, la patente prevista es nacional</v>
          </cell>
          <cell r="AA155" t="str">
            <v>Sí, la patente prevista es nacional</v>
          </cell>
          <cell r="AB155" t="str">
            <v>Sí, la publicación prevista es en revista científica q1</v>
          </cell>
          <cell r="AC155" t="str">
            <v>Sí, la publicación prevista es en revista científica q1</v>
          </cell>
          <cell r="AD155" t="str">
            <v>False</v>
          </cell>
        </row>
        <row r="156">
          <cell r="A156" t="str">
            <v>0011-1365-2020-000155</v>
          </cell>
          <cell r="B156" t="str">
            <v>Desarrollo y optimización de sistemas de aplicación y curado de soluciones anti-corrosión de bajo espesor en base a nanotecnología cerámica (Corrosión-Free)</v>
          </cell>
          <cell r="C156">
            <v>119090</v>
          </cell>
          <cell r="D156">
            <v>43922</v>
          </cell>
          <cell r="E156">
            <v>44651</v>
          </cell>
          <cell r="F156" t="str">
            <v>lurederra@lurederra.es</v>
          </cell>
          <cell r="G156" t="str">
            <v>Automoción y mecatrónica</v>
          </cell>
          <cell r="H156" t="str">
            <v>Automoción y mecatrónica</v>
          </cell>
          <cell r="I156" t="str">
            <v>Manufactura avanzada</v>
          </cell>
          <cell r="J156" t="str">
            <v>Manufactura avanzada</v>
          </cell>
          <cell r="K156" t="str">
            <v>Transformación 4.0 de la industria navarra</v>
          </cell>
          <cell r="L156" t="str">
            <v>Transformación 4.0 de la industria navarra</v>
          </cell>
          <cell r="M156" t="str">
            <v>Organismo de investigación</v>
          </cell>
          <cell r="N156" t="str">
            <v>Organismo de investigación</v>
          </cell>
          <cell r="O156" t="str">
            <v>Pequeña</v>
          </cell>
          <cell r="P156" t="str">
            <v>Pequeña</v>
          </cell>
          <cell r="Q156" t="str">
            <v>Cooperativo</v>
          </cell>
          <cell r="R156" t="str">
            <v>Cooperativo</v>
          </cell>
          <cell r="S156" t="str">
            <v>NO</v>
          </cell>
          <cell r="T156" t="str">
            <v>NO</v>
          </cell>
          <cell r="U156" t="str">
            <v>No procede</v>
          </cell>
          <cell r="V156" t="str">
            <v>NO</v>
          </cell>
          <cell r="W156" t="str">
            <v>NO</v>
          </cell>
          <cell r="Z156" t="str">
            <v>No, no tenemos intención de patentar</v>
          </cell>
          <cell r="AA156" t="str">
            <v>No, no tenemos intención de patentar</v>
          </cell>
          <cell r="AB156" t="str">
            <v>No, no tenemos prevista publicación</v>
          </cell>
          <cell r="AC156" t="str">
            <v>No, no tenemos prevista publicación</v>
          </cell>
          <cell r="AD156" t="str">
            <v>False</v>
          </cell>
        </row>
        <row r="157">
          <cell r="A157" t="str">
            <v>0011-1365-2020-000156</v>
          </cell>
          <cell r="B157" t="str">
            <v>“Desarrollo de un sistema controlado de aplicación para la mejora de las propiedades ópticas en superficies de vidrio y plástico” (OPTIVIPLAST)</v>
          </cell>
          <cell r="C157">
            <v>128239</v>
          </cell>
          <cell r="D157">
            <v>43922</v>
          </cell>
          <cell r="E157">
            <v>44651</v>
          </cell>
          <cell r="F157" t="str">
            <v>lurederra@lurederra.es</v>
          </cell>
          <cell r="G157" t="str">
            <v>Automoción y mecatrónica</v>
          </cell>
          <cell r="H157" t="str">
            <v>Automoción y mecatrónica</v>
          </cell>
          <cell r="I157" t="str">
            <v>Manufactura avanzada</v>
          </cell>
          <cell r="J157" t="str">
            <v>Manufactura avanzada</v>
          </cell>
          <cell r="K157" t="str">
            <v>Transformación 4.0 de la industria navarra</v>
          </cell>
          <cell r="L157" t="str">
            <v>Transformación 4.0 de la industria navarra</v>
          </cell>
          <cell r="M157" t="str">
            <v>Organismo de investigación</v>
          </cell>
          <cell r="N157" t="str">
            <v>Organismo de investigación</v>
          </cell>
          <cell r="O157" t="str">
            <v>Pequeña</v>
          </cell>
          <cell r="P157" t="str">
            <v>Pequeña</v>
          </cell>
          <cell r="Q157" t="str">
            <v>Transferencia del conocimiento</v>
          </cell>
          <cell r="R157" t="str">
            <v>Transferencia del conocimiento</v>
          </cell>
          <cell r="S157" t="str">
            <v>NO</v>
          </cell>
          <cell r="T157" t="str">
            <v>NO</v>
          </cell>
          <cell r="U157" t="str">
            <v>No procede</v>
          </cell>
          <cell r="V157" t="str">
            <v>NO</v>
          </cell>
          <cell r="W157" t="str">
            <v>NO</v>
          </cell>
          <cell r="Z157" t="str">
            <v>No, no tenemos intención de patentar</v>
          </cell>
          <cell r="AA157" t="str">
            <v>No, no tenemos intención de patentar</v>
          </cell>
          <cell r="AB157" t="str">
            <v>No, no tenemos prevista publicación</v>
          </cell>
          <cell r="AC157" t="str">
            <v>No, no tenemos prevista publicación</v>
          </cell>
          <cell r="AD157" t="str">
            <v>False</v>
          </cell>
        </row>
        <row r="158">
          <cell r="A158" t="str">
            <v>0011-1365-2020-000157</v>
          </cell>
          <cell r="B158" t="str">
            <v>“Desarrollo de barricas siempre limpias mediante la aplicación controlada de recubrimientos nanotecnológicos” (BARRICLEAN)</v>
          </cell>
          <cell r="C158">
            <v>166609</v>
          </cell>
          <cell r="D158">
            <v>43922</v>
          </cell>
          <cell r="E158">
            <v>44651</v>
          </cell>
          <cell r="F158" t="str">
            <v>lurederra@lurederra.es</v>
          </cell>
          <cell r="G158" t="str">
            <v>Cadena alimentaria</v>
          </cell>
          <cell r="H158" t="str">
            <v>Cadena alimentaria</v>
          </cell>
          <cell r="I158" t="str">
            <v>Manufactura avanzada</v>
          </cell>
          <cell r="J158" t="str">
            <v>Manufactura avanzada</v>
          </cell>
          <cell r="K158" t="str">
            <v>Vertebrar la cadena de valor alimentaria</v>
          </cell>
          <cell r="L158" t="str">
            <v>Vertebrar la cadena de valor alimentaria</v>
          </cell>
          <cell r="M158" t="str">
            <v>Organismo de investigación</v>
          </cell>
          <cell r="N158" t="str">
            <v>Organismo de investigación</v>
          </cell>
          <cell r="O158" t="str">
            <v>Pequeña</v>
          </cell>
          <cell r="P158" t="str">
            <v>Pequeña</v>
          </cell>
          <cell r="Q158" t="str">
            <v>Transferencia del conocimiento</v>
          </cell>
          <cell r="R158" t="str">
            <v>Transferencia del conocimiento</v>
          </cell>
          <cell r="S158" t="str">
            <v>NO</v>
          </cell>
          <cell r="T158" t="str">
            <v>NO</v>
          </cell>
          <cell r="U158" t="str">
            <v>No procede</v>
          </cell>
          <cell r="V158" t="str">
            <v>NO</v>
          </cell>
          <cell r="W158" t="str">
            <v>NO</v>
          </cell>
          <cell r="Z158" t="str">
            <v>No, no tenemos intención de patentar</v>
          </cell>
          <cell r="AA158" t="str">
            <v>No, no tenemos intención de patentar</v>
          </cell>
          <cell r="AB158" t="str">
            <v>No, no tenemos prevista publicación</v>
          </cell>
          <cell r="AC158" t="str">
            <v>No, no tenemos prevista publicación</v>
          </cell>
          <cell r="AD158" t="str">
            <v>False</v>
          </cell>
        </row>
        <row r="159">
          <cell r="A159" t="str">
            <v>0011-1365-2020-000158</v>
          </cell>
          <cell r="B159" t="str">
            <v xml:space="preserve">INSTALACIÓN EXPERIMENTAL FRIGORÍFICA PARA SUPERFICIE COMERCIAL BASADA EN FLUIDO FRIGERÍGENO BIFÁSICO (ICE2MARKET) </v>
          </cell>
          <cell r="C159">
            <v>274372.84999999998</v>
          </cell>
          <cell r="D159">
            <v>43922</v>
          </cell>
          <cell r="E159">
            <v>44651</v>
          </cell>
          <cell r="F159" t="str">
            <v>mapi@gesecom.com</v>
          </cell>
          <cell r="G159" t="str">
            <v>Energías renovables y recursos</v>
          </cell>
          <cell r="H159" t="str">
            <v>Energías renovables y recursos</v>
          </cell>
          <cell r="I159" t="str">
            <v>Manufactura avanzada</v>
          </cell>
          <cell r="J159" t="str">
            <v>Manufactura avanzada</v>
          </cell>
          <cell r="K159" t="str">
            <v>Promover la economía circular</v>
          </cell>
          <cell r="L159" t="str">
            <v>Promover la economía circular</v>
          </cell>
          <cell r="M159" t="str">
            <v>Empresa</v>
          </cell>
          <cell r="N159" t="str">
            <v>Empresa</v>
          </cell>
          <cell r="O159" t="str">
            <v>Grande</v>
          </cell>
          <cell r="P159" t="str">
            <v>Grande</v>
          </cell>
          <cell r="Q159" t="str">
            <v>Cooperativo</v>
          </cell>
          <cell r="R159" t="str">
            <v>Cooperativo</v>
          </cell>
          <cell r="S159" t="str">
            <v>SI</v>
          </cell>
          <cell r="T159" t="str">
            <v>SI</v>
          </cell>
          <cell r="V159" t="str">
            <v>NO</v>
          </cell>
          <cell r="W159" t="str">
            <v>NO</v>
          </cell>
          <cell r="Z159" t="str">
            <v>No, no tenemos intención de patentar</v>
          </cell>
          <cell r="AA159" t="str">
            <v>No, no tenemos intención de patentar</v>
          </cell>
          <cell r="AB159" t="str">
            <v>No, no tenemos prevista publicación</v>
          </cell>
          <cell r="AC159" t="str">
            <v>No, no tenemos prevista publicación</v>
          </cell>
          <cell r="AD159" t="str">
            <v>False</v>
          </cell>
        </row>
        <row r="160">
          <cell r="A160" t="str">
            <v>0011-1365-2020-000159</v>
          </cell>
          <cell r="B160" t="str">
            <v>Desarrollo de nuevas bolas de bajo peso para válvulas utilizadas en transporte y traslado de gas NEWBOL</v>
          </cell>
          <cell r="C160">
            <v>337620</v>
          </cell>
          <cell r="D160">
            <v>43922</v>
          </cell>
          <cell r="E160">
            <v>44651</v>
          </cell>
          <cell r="F160" t="str">
            <v>jdp@amlcentrifugal.com</v>
          </cell>
          <cell r="G160" t="str">
            <v>Automoción y mecatrónica</v>
          </cell>
          <cell r="H160" t="str">
            <v>Automoción y mecatrónica</v>
          </cell>
          <cell r="I160" t="str">
            <v>Manufactura avanzada</v>
          </cell>
          <cell r="J160" t="str">
            <v>Manufactura avanzada</v>
          </cell>
          <cell r="L160" t="str">
            <v>Seleccionar...</v>
          </cell>
          <cell r="M160" t="str">
            <v>Empresa</v>
          </cell>
          <cell r="N160" t="str">
            <v>Empresa</v>
          </cell>
          <cell r="O160" t="str">
            <v>Pequeña</v>
          </cell>
          <cell r="P160" t="str">
            <v>Pequeña</v>
          </cell>
          <cell r="Q160" t="str">
            <v>Individual</v>
          </cell>
          <cell r="R160" t="str">
            <v>Individual</v>
          </cell>
          <cell r="S160" t="str">
            <v>SI</v>
          </cell>
          <cell r="T160" t="str">
            <v>SI</v>
          </cell>
          <cell r="V160" t="str">
            <v>NO</v>
          </cell>
          <cell r="W160" t="str">
            <v>NO</v>
          </cell>
          <cell r="Z160" t="str">
            <v>No, no tenemos intención de patentar</v>
          </cell>
          <cell r="AA160" t="str">
            <v>No, no tenemos intención de patentar</v>
          </cell>
          <cell r="AB160" t="str">
            <v>No, no tenemos prevista publicación</v>
          </cell>
          <cell r="AC160" t="str">
            <v>No, no tenemos prevista publicación</v>
          </cell>
          <cell r="AD160" t="str">
            <v>False</v>
          </cell>
        </row>
        <row r="161">
          <cell r="A161" t="str">
            <v>0011-1365-2020-000160</v>
          </cell>
          <cell r="B161" t="str">
            <v xml:space="preserve">Sistema Inteligente de Distribución de Consumibles de Embalaje </v>
          </cell>
          <cell r="C161">
            <v>196690</v>
          </cell>
          <cell r="D161">
            <v>43922</v>
          </cell>
          <cell r="E161">
            <v>44651</v>
          </cell>
          <cell r="F161" t="str">
            <v>nora@valsay.com</v>
          </cell>
          <cell r="G161" t="str">
            <v>Automoción y mecatrónica</v>
          </cell>
          <cell r="H161" t="str">
            <v>Automoción y mecatrónica</v>
          </cell>
          <cell r="I161" t="str">
            <v>Tic</v>
          </cell>
          <cell r="J161" t="str">
            <v>Tic</v>
          </cell>
          <cell r="K161" t="str">
            <v>Transformación 4.0 de la industria navarra</v>
          </cell>
          <cell r="L161" t="str">
            <v>Transformación 4.0 de la industria navarra</v>
          </cell>
          <cell r="M161" t="str">
            <v>Empresa</v>
          </cell>
          <cell r="N161" t="str">
            <v>Empresa</v>
          </cell>
          <cell r="O161" t="str">
            <v>Pequeña</v>
          </cell>
          <cell r="P161" t="str">
            <v>Pequeña</v>
          </cell>
          <cell r="Q161" t="str">
            <v>Transferencia del conocimiento</v>
          </cell>
          <cell r="R161" t="str">
            <v>Transferencia del conocimiento</v>
          </cell>
          <cell r="S161" t="str">
            <v>SI</v>
          </cell>
          <cell r="T161" t="str">
            <v>SI</v>
          </cell>
          <cell r="V161" t="str">
            <v>NO</v>
          </cell>
          <cell r="W161" t="str">
            <v>NO</v>
          </cell>
          <cell r="Z161" t="str">
            <v>No, no tenemos intención de patentar</v>
          </cell>
          <cell r="AA161" t="str">
            <v>No, no tenemos intención de patentar</v>
          </cell>
          <cell r="AB161" t="str">
            <v>No, no tenemos prevista publicación</v>
          </cell>
          <cell r="AC161" t="str">
            <v>No, no tenemos prevista publicación</v>
          </cell>
          <cell r="AD161" t="str">
            <v>False</v>
          </cell>
        </row>
        <row r="162">
          <cell r="A162" t="str">
            <v>0011-1365-2020-000161</v>
          </cell>
          <cell r="B162" t="str">
            <v xml:space="preserve">INSTALACIÓN EXPERIMENTAL FRIGORÍFICA PARA SUPERFICIE COMERCIAL BASADA EN FLUIDO FRIGERÍGENO BIFÁSICO (ICE2MARKET) </v>
          </cell>
          <cell r="C162">
            <v>321847.5</v>
          </cell>
          <cell r="D162">
            <v>43922</v>
          </cell>
          <cell r="E162">
            <v>44651</v>
          </cell>
          <cell r="F162" t="str">
            <v>administracion@lizarrainstalaciones.com</v>
          </cell>
          <cell r="G162" t="str">
            <v>Energías renovables y recursos</v>
          </cell>
          <cell r="H162" t="str">
            <v>Energías renovables y recursos</v>
          </cell>
          <cell r="I162" t="str">
            <v>Manufactura avanzada</v>
          </cell>
          <cell r="J162" t="str">
            <v>Manufactura avanzada</v>
          </cell>
          <cell r="K162" t="str">
            <v>Promover la economía circular</v>
          </cell>
          <cell r="L162" t="str">
            <v>Promover la economía circular</v>
          </cell>
          <cell r="M162" t="str">
            <v>Empresa</v>
          </cell>
          <cell r="N162" t="str">
            <v>Empresa</v>
          </cell>
          <cell r="O162" t="str">
            <v>Pequeña</v>
          </cell>
          <cell r="P162" t="str">
            <v>Pequeña</v>
          </cell>
          <cell r="Q162" t="str">
            <v>Cooperativo</v>
          </cell>
          <cell r="R162" t="str">
            <v>Cooperativo</v>
          </cell>
          <cell r="S162" t="str">
            <v>SI</v>
          </cell>
          <cell r="T162" t="str">
            <v>SI</v>
          </cell>
          <cell r="V162" t="str">
            <v>NO</v>
          </cell>
          <cell r="W162" t="str">
            <v>NO</v>
          </cell>
          <cell r="Z162" t="str">
            <v>No, no tenemos intención de patentar</v>
          </cell>
          <cell r="AA162" t="str">
            <v>No, no tenemos intención de patentar</v>
          </cell>
          <cell r="AB162" t="str">
            <v>No, no tenemos prevista publicación</v>
          </cell>
          <cell r="AC162" t="str">
            <v>No, no tenemos prevista publicación</v>
          </cell>
          <cell r="AD162" t="str">
            <v>False</v>
          </cell>
        </row>
        <row r="163">
          <cell r="A163" t="str">
            <v>0011-1365-2020-000162</v>
          </cell>
          <cell r="B163" t="str">
            <v>TRANSFORMACIÓN DE RESIDUOS DE ALMAZARA EN PRODUCTOS DE ALTO VALOR AÑADIDO: SUSTRATO PARA MICELIO Y ANTIOXIDANTES NATURALES PARA ACEITES Y CREMAS ENRIQUECIDAS (MIOXITUR).</v>
          </cell>
          <cell r="C163">
            <v>150025</v>
          </cell>
          <cell r="D163">
            <v>43922</v>
          </cell>
          <cell r="E163">
            <v>44651</v>
          </cell>
          <cell r="F163" t="str">
            <v>trujal@haciendaortigosa.com</v>
          </cell>
          <cell r="G163" t="str">
            <v>Energías renovables y recursos</v>
          </cell>
          <cell r="H163" t="str">
            <v>Energías renovables y recursos</v>
          </cell>
          <cell r="I163" t="str">
            <v>Otros</v>
          </cell>
          <cell r="J163" t="str">
            <v>Otros</v>
          </cell>
          <cell r="K163" t="str">
            <v>Promover la economía circular</v>
          </cell>
          <cell r="L163" t="str">
            <v>Promover la economía circular</v>
          </cell>
          <cell r="M163" t="str">
            <v>Empresa</v>
          </cell>
          <cell r="N163" t="str">
            <v>Empresa</v>
          </cell>
          <cell r="O163" t="str">
            <v>Pequeña</v>
          </cell>
          <cell r="P163" t="str">
            <v>Pequeña</v>
          </cell>
          <cell r="Q163" t="str">
            <v>Individual</v>
          </cell>
          <cell r="R163" t="str">
            <v>Individual</v>
          </cell>
          <cell r="S163" t="str">
            <v>SI</v>
          </cell>
          <cell r="T163" t="str">
            <v>SI</v>
          </cell>
          <cell r="V163" t="str">
            <v>NO</v>
          </cell>
          <cell r="W163" t="str">
            <v>NO</v>
          </cell>
          <cell r="Z163" t="str">
            <v>No, no tenemos intención de patentar</v>
          </cell>
          <cell r="AA163" t="str">
            <v>No, no tenemos intención de patentar</v>
          </cell>
          <cell r="AB163" t="str">
            <v>No, no tenemos prevista publicación</v>
          </cell>
          <cell r="AC163" t="str">
            <v>No, no tenemos prevista publicación</v>
          </cell>
          <cell r="AD163" t="str">
            <v>False</v>
          </cell>
        </row>
        <row r="164">
          <cell r="A164" t="str">
            <v>0011-1365-2020-000163</v>
          </cell>
          <cell r="B164" t="str">
            <v>Controles y sensores de posición para aplicaciones de Alta Exigencia (ALEX)</v>
          </cell>
          <cell r="C164">
            <v>277510.3</v>
          </cell>
          <cell r="D164">
            <v>43922</v>
          </cell>
          <cell r="E164">
            <v>44286</v>
          </cell>
          <cell r="F164" t="str">
            <v>mikel.larrazabal@piher-amphenol.com</v>
          </cell>
          <cell r="G164" t="str">
            <v>Automoción y mecatrónica</v>
          </cell>
          <cell r="H164" t="str">
            <v>Automoción y mecatrónica</v>
          </cell>
          <cell r="I164" t="str">
            <v>Tic</v>
          </cell>
          <cell r="J164" t="str">
            <v>Tic</v>
          </cell>
          <cell r="K164" t="str">
            <v>Transformación 4.0 de la industria navarra</v>
          </cell>
          <cell r="L164" t="str">
            <v>Transformación 4.0 de la industria navarra</v>
          </cell>
          <cell r="M164" t="str">
            <v>Empresa</v>
          </cell>
          <cell r="N164" t="str">
            <v>Empresa</v>
          </cell>
          <cell r="O164" t="str">
            <v>Grande</v>
          </cell>
          <cell r="P164" t="str">
            <v>Grande</v>
          </cell>
          <cell r="Q164" t="str">
            <v>Individual</v>
          </cell>
          <cell r="R164" t="str">
            <v>Individual</v>
          </cell>
          <cell r="S164" t="str">
            <v>SI</v>
          </cell>
          <cell r="T164" t="str">
            <v>SI</v>
          </cell>
          <cell r="V164" t="str">
            <v>NO</v>
          </cell>
          <cell r="W164" t="str">
            <v>NO</v>
          </cell>
          <cell r="Z164" t="str">
            <v>Sí, la patente prevista es europea</v>
          </cell>
          <cell r="AA164" t="str">
            <v>Sí, la patente prevista es europea</v>
          </cell>
          <cell r="AB164" t="str">
            <v>No, no tenemos prevista publicación</v>
          </cell>
          <cell r="AC164" t="str">
            <v>No, no tenemos prevista publicación</v>
          </cell>
          <cell r="AD164" t="str">
            <v>False</v>
          </cell>
        </row>
        <row r="165">
          <cell r="A165" t="str">
            <v>0011-1365-2020-000164</v>
          </cell>
          <cell r="B165" t="str">
            <v xml:space="preserve">Sistema Inteligente de Distribución de Consumibles de Embalaje </v>
          </cell>
          <cell r="C165">
            <v>195960</v>
          </cell>
          <cell r="D165">
            <v>43922</v>
          </cell>
          <cell r="E165">
            <v>44651</v>
          </cell>
          <cell r="F165" t="str">
            <v>aursua@ain.es</v>
          </cell>
          <cell r="G165" t="str">
            <v>Automoción y mecatrónica</v>
          </cell>
          <cell r="H165" t="str">
            <v>Automoción y mecatrónica</v>
          </cell>
          <cell r="I165" t="str">
            <v>Tic</v>
          </cell>
          <cell r="J165" t="str">
            <v>Tic</v>
          </cell>
          <cell r="K165" t="str">
            <v>Transformación 4.0 de la industria navarra</v>
          </cell>
          <cell r="L165" t="str">
            <v>Transformación 4.0 de la industria navarra</v>
          </cell>
          <cell r="M165" t="str">
            <v>Organismo de investigación</v>
          </cell>
          <cell r="N165" t="str">
            <v>Organismo de investigación</v>
          </cell>
          <cell r="O165" t="str">
            <v>Organismo de investigación</v>
          </cell>
          <cell r="P165" t="str">
            <v>Organismo de investigación</v>
          </cell>
          <cell r="Q165" t="str">
            <v>Transferencia del conocimiento</v>
          </cell>
          <cell r="R165" t="str">
            <v>Transferencia del conocimiento</v>
          </cell>
          <cell r="S165" t="str">
            <v>SI</v>
          </cell>
          <cell r="T165" t="str">
            <v>SI</v>
          </cell>
          <cell r="V165" t="str">
            <v>NO</v>
          </cell>
          <cell r="W165" t="str">
            <v>NO</v>
          </cell>
          <cell r="Z165" t="str">
            <v>No, no tenemos intención de patentar</v>
          </cell>
          <cell r="AA165" t="str">
            <v>No, no tenemos intención de patentar</v>
          </cell>
          <cell r="AB165" t="str">
            <v>No, no tenemos prevista publicación</v>
          </cell>
          <cell r="AC165" t="str">
            <v>No, no tenemos prevista publicación</v>
          </cell>
          <cell r="AD165" t="str">
            <v>False</v>
          </cell>
        </row>
        <row r="166">
          <cell r="A166" t="str">
            <v>0011-1365-2020-000165</v>
          </cell>
          <cell r="B166" t="str">
            <v>DESARROLLO Y FABRICACIÓN AVANZADA DE COMPONENTES DE AUTOMOACIÓN DE ÚLTIMA GENERACIÓN POR MEDIO DE HERRAMIENTA PREDICTIVA BASADA EN INTELIGENCIA ARTIFICIAL</v>
          </cell>
          <cell r="C166">
            <v>571648.85</v>
          </cell>
          <cell r="D166">
            <v>43922</v>
          </cell>
          <cell r="E166">
            <v>44651</v>
          </cell>
          <cell r="F166" t="str">
            <v>RRHH@emayo.com</v>
          </cell>
          <cell r="G166" t="str">
            <v>Automoción y mecatrónica</v>
          </cell>
          <cell r="H166" t="str">
            <v>Automoción y mecatrónica</v>
          </cell>
          <cell r="I166" t="str">
            <v>Tic</v>
          </cell>
          <cell r="J166" t="str">
            <v>Tic</v>
          </cell>
          <cell r="K166" t="str">
            <v>Transformación 4.0 de la industria navarra</v>
          </cell>
          <cell r="L166" t="str">
            <v>Transformación 4.0 de la industria navarra</v>
          </cell>
          <cell r="M166" t="str">
            <v>Empresa</v>
          </cell>
          <cell r="N166" t="str">
            <v>Empresa</v>
          </cell>
          <cell r="O166" t="str">
            <v>Grande</v>
          </cell>
          <cell r="P166" t="str">
            <v>Grande</v>
          </cell>
          <cell r="Q166" t="str">
            <v>Transferencia del conocimiento</v>
          </cell>
          <cell r="R166" t="str">
            <v>Transferencia del conocimiento</v>
          </cell>
          <cell r="S166" t="str">
            <v>NO</v>
          </cell>
          <cell r="T166" t="str">
            <v>NO</v>
          </cell>
          <cell r="U166" t="str">
            <v>N/A</v>
          </cell>
          <cell r="V166" t="str">
            <v>NO</v>
          </cell>
          <cell r="W166" t="str">
            <v>NO</v>
          </cell>
          <cell r="Z166" t="str">
            <v>No, no tenemos intención de patentar</v>
          </cell>
          <cell r="AA166" t="str">
            <v>No, no tenemos intención de patentar</v>
          </cell>
          <cell r="AB166" t="str">
            <v>Sí, la publicación prevista es en revista científica q1</v>
          </cell>
          <cell r="AC166" t="str">
            <v>Sí, la publicación prevista es en revista científica q1</v>
          </cell>
          <cell r="AD166" t="str">
            <v>False</v>
          </cell>
        </row>
        <row r="167">
          <cell r="A167" t="str">
            <v>0011-1365-2020-000166</v>
          </cell>
          <cell r="B167" t="str">
            <v>SISTEMA INTEGRAL DE CONSTRUCCIÓN AVANZADA</v>
          </cell>
          <cell r="C167">
            <v>702857</v>
          </cell>
          <cell r="D167">
            <v>43922</v>
          </cell>
          <cell r="E167">
            <v>44377</v>
          </cell>
          <cell r="F167" t="str">
            <v>juan.lasnavas@innyco.com</v>
          </cell>
          <cell r="G167" t="str">
            <v>Automoción y mecatrónica</v>
          </cell>
          <cell r="H167" t="str">
            <v>Automoción y mecatrónica</v>
          </cell>
          <cell r="I167" t="str">
            <v>Manufactura avanzada</v>
          </cell>
          <cell r="J167" t="str">
            <v>Manufactura avanzada</v>
          </cell>
          <cell r="K167" t="str">
            <v>Transformación 4.0 de la industria navarra</v>
          </cell>
          <cell r="L167" t="str">
            <v>Transformación 4.0 de la industria navarra</v>
          </cell>
          <cell r="M167" t="str">
            <v>Empresa</v>
          </cell>
          <cell r="N167" t="str">
            <v>Empresa</v>
          </cell>
          <cell r="O167" t="str">
            <v>Pequeña</v>
          </cell>
          <cell r="P167" t="str">
            <v>Pequeña</v>
          </cell>
          <cell r="Q167" t="str">
            <v>Individual</v>
          </cell>
          <cell r="R167" t="str">
            <v>Individual</v>
          </cell>
          <cell r="S167" t="str">
            <v>SI</v>
          </cell>
          <cell r="T167" t="str">
            <v>SI</v>
          </cell>
          <cell r="V167" t="str">
            <v>NO</v>
          </cell>
          <cell r="W167" t="str">
            <v>NO</v>
          </cell>
          <cell r="Z167" t="str">
            <v>Sí, la patente prevista es europea</v>
          </cell>
          <cell r="AA167" t="str">
            <v>Sí, la patente prevista es europea</v>
          </cell>
          <cell r="AB167" t="str">
            <v>No, no tenemos prevista publicación</v>
          </cell>
          <cell r="AC167" t="str">
            <v>No, no tenemos prevista publicación</v>
          </cell>
          <cell r="AD167" t="str">
            <v>False</v>
          </cell>
        </row>
        <row r="168">
          <cell r="A168" t="str">
            <v>0011-1365-2020-000167</v>
          </cell>
          <cell r="B168" t="str">
            <v>ESTABILIZACIÓN DE SUELOS ÁCIDOS CON COPRODUCTOS DE MAGNESIO</v>
          </cell>
          <cell r="C168">
            <v>249751.81</v>
          </cell>
          <cell r="D168">
            <v>43983</v>
          </cell>
          <cell r="E168">
            <v>44651</v>
          </cell>
          <cell r="F168" t="str">
            <v>belen.zarranz@magnesitasnavarras.es</v>
          </cell>
          <cell r="G168" t="str">
            <v>Energías renovables y recursos</v>
          </cell>
          <cell r="H168" t="str">
            <v>Energías renovables y recursos</v>
          </cell>
          <cell r="I168" t="str">
            <v>Otros</v>
          </cell>
          <cell r="J168" t="str">
            <v>Otros</v>
          </cell>
          <cell r="K168" t="str">
            <v>Promover la economía circular</v>
          </cell>
          <cell r="L168" t="str">
            <v>Promover la economía circular</v>
          </cell>
          <cell r="M168" t="str">
            <v>Empresa</v>
          </cell>
          <cell r="N168" t="str">
            <v>Empresa</v>
          </cell>
          <cell r="O168" t="str">
            <v>Grande</v>
          </cell>
          <cell r="P168" t="str">
            <v>Grande</v>
          </cell>
          <cell r="Q168" t="str">
            <v>Transferencia del conocimiento</v>
          </cell>
          <cell r="R168" t="str">
            <v>Transferencia del conocimiento</v>
          </cell>
          <cell r="S168" t="str">
            <v>SI</v>
          </cell>
          <cell r="T168" t="str">
            <v>SI</v>
          </cell>
          <cell r="V168" t="str">
            <v>NO</v>
          </cell>
          <cell r="W168" t="str">
            <v>NO</v>
          </cell>
          <cell r="Z168" t="str">
            <v>No, no tenemos intención de patentar</v>
          </cell>
          <cell r="AA168" t="str">
            <v>No, no tenemos intención de patentar</v>
          </cell>
          <cell r="AB168" t="str">
            <v>Sí, la publicación prevista es en revista científica q1</v>
          </cell>
          <cell r="AC168" t="str">
            <v>Sí, la publicación prevista es en revista científica q1</v>
          </cell>
          <cell r="AD168" t="str">
            <v>False</v>
          </cell>
        </row>
        <row r="169">
          <cell r="A169" t="str">
            <v>0011-1365-2020-000168</v>
          </cell>
          <cell r="B169" t="str">
            <v>célulA Robótica para el pulIdo piezaS estrucTurales de metAl duro del sectoR</v>
          </cell>
          <cell r="C169">
            <v>157370</v>
          </cell>
          <cell r="D169">
            <v>43922</v>
          </cell>
          <cell r="E169">
            <v>44651</v>
          </cell>
          <cell r="F169" t="str">
            <v>aursua@ain.es</v>
          </cell>
          <cell r="G169" t="str">
            <v>Automoción y mecatrónica</v>
          </cell>
          <cell r="H169" t="str">
            <v>Automoción y mecatrónica</v>
          </cell>
          <cell r="I169" t="str">
            <v>Manufactura avanzada</v>
          </cell>
          <cell r="J169" t="str">
            <v>Manufactura avanzada</v>
          </cell>
          <cell r="K169" t="str">
            <v>Transformación 4.0 de la industria navarra</v>
          </cell>
          <cell r="L169" t="str">
            <v>Transformación 4.0 de la industria navarra</v>
          </cell>
          <cell r="M169" t="str">
            <v>Organismo de investigación</v>
          </cell>
          <cell r="N169" t="str">
            <v>Organismo de investigación</v>
          </cell>
          <cell r="O169" t="str">
            <v>Organismo de investigación</v>
          </cell>
          <cell r="P169" t="str">
            <v>Organismo de investigación</v>
          </cell>
          <cell r="Q169" t="str">
            <v>Transferencia del conocimiento</v>
          </cell>
          <cell r="R169" t="str">
            <v>Transferencia del conocimiento</v>
          </cell>
          <cell r="S169" t="str">
            <v>SI</v>
          </cell>
          <cell r="T169" t="str">
            <v>SI</v>
          </cell>
          <cell r="V169" t="str">
            <v>NO</v>
          </cell>
          <cell r="W169" t="str">
            <v>NO</v>
          </cell>
          <cell r="Z169" t="str">
            <v>No, no tenemos intención de patentar</v>
          </cell>
          <cell r="AA169" t="str">
            <v>No, no tenemos intención de patentar</v>
          </cell>
          <cell r="AB169" t="str">
            <v>Sí, la publicación prevista es en revista científica q1</v>
          </cell>
          <cell r="AC169" t="str">
            <v>Sí, la publicación prevista es en revista científica q1</v>
          </cell>
          <cell r="AD169" t="str">
            <v>False</v>
          </cell>
        </row>
        <row r="170">
          <cell r="A170" t="str">
            <v>0011-1365-2020-000169</v>
          </cell>
          <cell r="B170" t="str">
            <v>Desarrollo de nuevos discos de freno de fundición de hierro gris fabricados mediante la tecnología en moldeo en sándwich</v>
          </cell>
          <cell r="C170">
            <v>208638.58</v>
          </cell>
          <cell r="D170">
            <v>43922</v>
          </cell>
          <cell r="E170">
            <v>44286</v>
          </cell>
          <cell r="F170" t="str">
            <v>g.gomez@fagorederlantafalla.es</v>
          </cell>
          <cell r="G170" t="str">
            <v>Automoción y mecatrónica</v>
          </cell>
          <cell r="H170" t="str">
            <v>Automoción y mecatrónica</v>
          </cell>
          <cell r="I170" t="str">
            <v>Manufactura avanzada</v>
          </cell>
          <cell r="J170" t="str">
            <v>Manufactura avanzada</v>
          </cell>
          <cell r="K170" t="str">
            <v>Transformación 4.0 de la industria navarra</v>
          </cell>
          <cell r="L170" t="str">
            <v>Transformación 4.0 de la industria navarra</v>
          </cell>
          <cell r="M170" t="str">
            <v>Empresa</v>
          </cell>
          <cell r="N170" t="str">
            <v>Empresa</v>
          </cell>
          <cell r="O170" t="str">
            <v>Grande</v>
          </cell>
          <cell r="P170" t="str">
            <v>Grande</v>
          </cell>
          <cell r="Q170" t="str">
            <v>Individual</v>
          </cell>
          <cell r="R170" t="str">
            <v>Individual</v>
          </cell>
          <cell r="S170" t="str">
            <v>SI</v>
          </cell>
          <cell r="T170" t="str">
            <v>SI</v>
          </cell>
          <cell r="V170" t="str">
            <v>NO</v>
          </cell>
          <cell r="W170" t="str">
            <v>NO</v>
          </cell>
          <cell r="Z170" t="str">
            <v>No, no tenemos intención de patentar</v>
          </cell>
          <cell r="AA170" t="str">
            <v>No, no tenemos intención de patentar</v>
          </cell>
          <cell r="AB170" t="str">
            <v>No, no tenemos prevista publicación</v>
          </cell>
          <cell r="AC170" t="str">
            <v>No, no tenemos prevista publicación</v>
          </cell>
          <cell r="AD170" t="str">
            <v>False</v>
          </cell>
        </row>
        <row r="171">
          <cell r="A171" t="str">
            <v>0011-1365-2020-000170</v>
          </cell>
          <cell r="B171" t="str">
            <v>VALORIZACION DE SUBPRODUCTOS DE REFINO FISICO DEL ACEITE DE OLIVA: DESARROLLO DE ALIMENTOS FUNCIONALES CON EXTRACTOS DE ACEITE DE OLIVA RICOS EN ESCUALENO (SQUALOIL)</v>
          </cell>
          <cell r="C171">
            <v>200532</v>
          </cell>
          <cell r="D171">
            <v>43922</v>
          </cell>
          <cell r="E171">
            <v>44651</v>
          </cell>
          <cell r="F171" t="str">
            <v>izaskun@oleofat.es</v>
          </cell>
          <cell r="G171" t="str">
            <v>Cadena alimentaria</v>
          </cell>
          <cell r="H171" t="str">
            <v>Cadena alimentaria</v>
          </cell>
          <cell r="I171" t="str">
            <v>Biotecnología</v>
          </cell>
          <cell r="J171" t="str">
            <v>Biotecnología</v>
          </cell>
          <cell r="K171" t="str">
            <v>Promover la economía circular</v>
          </cell>
          <cell r="L171" t="str">
            <v>Promover la economía circular</v>
          </cell>
          <cell r="M171" t="str">
            <v>Empresa</v>
          </cell>
          <cell r="N171" t="str">
            <v>Empresa</v>
          </cell>
          <cell r="O171" t="str">
            <v>Mediana</v>
          </cell>
          <cell r="P171" t="str">
            <v>Mediana</v>
          </cell>
          <cell r="Q171" t="str">
            <v>Transferencia del conocimiento</v>
          </cell>
          <cell r="R171" t="str">
            <v>Transferencia del conocimiento</v>
          </cell>
          <cell r="S171" t="str">
            <v>SI</v>
          </cell>
          <cell r="T171" t="str">
            <v>SI</v>
          </cell>
          <cell r="V171" t="str">
            <v>NO</v>
          </cell>
          <cell r="W171" t="str">
            <v>NO</v>
          </cell>
          <cell r="Z171" t="str">
            <v>Sí, la patente prevista es europea</v>
          </cell>
          <cell r="AA171" t="str">
            <v>Sí, la patente prevista es europea</v>
          </cell>
          <cell r="AB171" t="str">
            <v>Sí, la publicación prevista es en revista científica q1</v>
          </cell>
          <cell r="AC171" t="str">
            <v>Sí, la publicación prevista es en revista científica q1</v>
          </cell>
          <cell r="AD171" t="str">
            <v>False</v>
          </cell>
        </row>
        <row r="172">
          <cell r="A172" t="str">
            <v>0011-1365-2020-000171</v>
          </cell>
          <cell r="B172" t="str">
            <v>Desarrollo y optimización de sistemas de aplicación y curado de soluciones anti-corrosión de bajo espesor en base a nanotecnología cerámica (Corrosión-Free)</v>
          </cell>
          <cell r="C172">
            <v>119090</v>
          </cell>
          <cell r="D172">
            <v>43922</v>
          </cell>
          <cell r="E172">
            <v>44651</v>
          </cell>
          <cell r="F172" t="str">
            <v>lurederra@lurederra.es</v>
          </cell>
          <cell r="G172" t="str">
            <v>Automoción y mecatrónica</v>
          </cell>
          <cell r="H172" t="str">
            <v>Automoción y mecatrónica</v>
          </cell>
          <cell r="I172" t="str">
            <v>Manufactura avanzada</v>
          </cell>
          <cell r="J172" t="str">
            <v>Manufactura avanzada</v>
          </cell>
          <cell r="K172" t="str">
            <v>Transformación 4.0 de la industria navarra</v>
          </cell>
          <cell r="L172" t="str">
            <v>Transformación 4.0 de la industria navarra</v>
          </cell>
          <cell r="M172" t="str">
            <v>Organismo de investigación</v>
          </cell>
          <cell r="N172" t="str">
            <v>Organismo de investigación</v>
          </cell>
          <cell r="O172" t="str">
            <v>Pequeña</v>
          </cell>
          <cell r="P172" t="str">
            <v>Pequeña</v>
          </cell>
          <cell r="Q172" t="str">
            <v>Transferencia del conocimiento</v>
          </cell>
          <cell r="R172" t="str">
            <v>Transferencia del conocimiento</v>
          </cell>
          <cell r="S172" t="str">
            <v>NO</v>
          </cell>
          <cell r="T172" t="str">
            <v>NO</v>
          </cell>
          <cell r="U172" t="str">
            <v>No procede</v>
          </cell>
          <cell r="V172" t="str">
            <v>NO</v>
          </cell>
          <cell r="W172" t="str">
            <v>NO</v>
          </cell>
          <cell r="Z172" t="str">
            <v>No, no tenemos intención de patentar</v>
          </cell>
          <cell r="AA172" t="str">
            <v>No, no tenemos intención de patentar</v>
          </cell>
          <cell r="AB172" t="str">
            <v>No, no tenemos prevista publicación</v>
          </cell>
          <cell r="AC172" t="str">
            <v>No, no tenemos prevista publicación</v>
          </cell>
          <cell r="AD172" t="str">
            <v>False</v>
          </cell>
        </row>
        <row r="173">
          <cell r="A173" t="str">
            <v>0011-1365-2020-000172</v>
          </cell>
          <cell r="B173" t="str">
            <v>NEUROCAPS. Nanoencapsulados de proteínas vegetales para la prevención de enfermedades neurodegenerativas</v>
          </cell>
          <cell r="C173">
            <v>115474.86</v>
          </cell>
          <cell r="D173">
            <v>43922</v>
          </cell>
          <cell r="E173">
            <v>44651</v>
          </cell>
          <cell r="F173" t="str">
            <v>proyectos_id@unav.es</v>
          </cell>
          <cell r="G173" t="str">
            <v>Salud</v>
          </cell>
          <cell r="H173" t="str">
            <v>Salud</v>
          </cell>
          <cell r="I173" t="str">
            <v>Biotecnología</v>
          </cell>
          <cell r="J173" t="str">
            <v>Biotecnología</v>
          </cell>
          <cell r="K173" t="str">
            <v>Desarrollo de la medicina personalizada</v>
          </cell>
          <cell r="L173" t="str">
            <v>Desarrollo de la medicina personalizada</v>
          </cell>
          <cell r="M173" t="str">
            <v>Organismo de investigación</v>
          </cell>
          <cell r="N173" t="str">
            <v>Organismo de investigación</v>
          </cell>
          <cell r="O173" t="str">
            <v>Organismo de investigación</v>
          </cell>
          <cell r="P173" t="str">
            <v>Organismo de investigación</v>
          </cell>
          <cell r="Q173" t="str">
            <v>Transferencia del conocimiento</v>
          </cell>
          <cell r="R173" t="str">
            <v>Transferencia del conocimiento</v>
          </cell>
          <cell r="S173" t="str">
            <v>NO</v>
          </cell>
          <cell r="T173" t="str">
            <v>NO</v>
          </cell>
          <cell r="U173" t="str">
            <v>No aplica</v>
          </cell>
          <cell r="V173" t="str">
            <v>NO</v>
          </cell>
          <cell r="W173" t="str">
            <v>NO</v>
          </cell>
          <cell r="Z173" t="str">
            <v>No, no tenemos intención de patentar</v>
          </cell>
          <cell r="AA173" t="str">
            <v>No, no tenemos intención de patentar</v>
          </cell>
          <cell r="AB173" t="str">
            <v>No, no tenemos prevista publicación</v>
          </cell>
          <cell r="AC173" t="str">
            <v>No, no tenemos prevista publicación</v>
          </cell>
          <cell r="AD173" t="str">
            <v>False</v>
          </cell>
        </row>
        <row r="174">
          <cell r="A174" t="str">
            <v>0011-1365-2020-000173</v>
          </cell>
          <cell r="B174" t="str">
            <v>ACTIOBUS 2.0: Ecosistema en la nube para la predicción en tiempo real de la ocupación en el transporte público</v>
          </cell>
          <cell r="C174">
            <v>117806</v>
          </cell>
          <cell r="D174">
            <v>44013</v>
          </cell>
          <cell r="E174">
            <v>44561</v>
          </cell>
          <cell r="F174" t="str">
            <v>diego.bujanda@geoactio.com</v>
          </cell>
          <cell r="G174" t="str">
            <v>Industrias creativas y digitales</v>
          </cell>
          <cell r="H174" t="str">
            <v>Industrias creativas y digitales</v>
          </cell>
          <cell r="I174" t="str">
            <v>Tic</v>
          </cell>
          <cell r="J174" t="str">
            <v>Tic</v>
          </cell>
          <cell r="K174" t="str">
            <v>Industrias creativas y digitales</v>
          </cell>
          <cell r="L174" t="str">
            <v>Industrias creativas y digitales</v>
          </cell>
          <cell r="M174" t="str">
            <v>Empresa</v>
          </cell>
          <cell r="N174" t="str">
            <v>Empresa</v>
          </cell>
          <cell r="O174" t="str">
            <v>Pequeña</v>
          </cell>
          <cell r="P174" t="str">
            <v>Pequeña</v>
          </cell>
          <cell r="Q174" t="str">
            <v>Individual</v>
          </cell>
          <cell r="R174" t="str">
            <v>Individual</v>
          </cell>
          <cell r="S174" t="str">
            <v>SI</v>
          </cell>
          <cell r="T174" t="str">
            <v>SI</v>
          </cell>
          <cell r="V174" t="str">
            <v>NO</v>
          </cell>
          <cell r="W174" t="str">
            <v>NO</v>
          </cell>
          <cell r="Z174" t="str">
            <v>No, no tenemos intención de patentar</v>
          </cell>
          <cell r="AA174" t="str">
            <v>No, no tenemos intención de patentar</v>
          </cell>
          <cell r="AB174" t="str">
            <v>No, no tenemos prevista publicación</v>
          </cell>
          <cell r="AC174" t="str">
            <v>No, no tenemos prevista publicación</v>
          </cell>
          <cell r="AD174" t="str">
            <v>False</v>
          </cell>
        </row>
        <row r="175">
          <cell r="A175" t="str">
            <v>0011-1365-2020-000174</v>
          </cell>
          <cell r="B175" t="str">
            <v>DESARROLLO Y FABRICACIÓN AVANZADA DE COMPONENTES DE AUTOMOACIÓN DE ÚLTIMA GENERACIÓN POR MEDIO DE HERRAMIENTA PREDICTIVA BASADA EN INTELIGENCIA ARTIFICIAL</v>
          </cell>
          <cell r="C175">
            <v>118478.62</v>
          </cell>
          <cell r="D175">
            <v>43922</v>
          </cell>
          <cell r="E175">
            <v>44651</v>
          </cell>
          <cell r="F175" t="str">
            <v>eerauzquin@naitec.es</v>
          </cell>
          <cell r="G175" t="str">
            <v>Automoción y mecatrónica</v>
          </cell>
          <cell r="H175" t="str">
            <v>Automoción y mecatrónica</v>
          </cell>
          <cell r="I175" t="str">
            <v>Tic</v>
          </cell>
          <cell r="J175" t="str">
            <v>Tic</v>
          </cell>
          <cell r="K175" t="str">
            <v>Transformación 4.0 de la industria navarra</v>
          </cell>
          <cell r="L175" t="str">
            <v>Transformación 4.0 de la industria navarra</v>
          </cell>
          <cell r="M175" t="str">
            <v>Organismo de investigación</v>
          </cell>
          <cell r="N175" t="str">
            <v>Organismo de investigación</v>
          </cell>
          <cell r="O175" t="str">
            <v>Organismo de investigación</v>
          </cell>
          <cell r="P175" t="str">
            <v>Organismo de investigación</v>
          </cell>
          <cell r="Q175" t="str">
            <v>Transferencia del conocimiento</v>
          </cell>
          <cell r="R175" t="str">
            <v>Transferencia del conocimiento</v>
          </cell>
          <cell r="S175" t="str">
            <v>NO</v>
          </cell>
          <cell r="T175" t="str">
            <v>NO</v>
          </cell>
          <cell r="U175" t="str">
            <v>N/A</v>
          </cell>
          <cell r="V175" t="str">
            <v>NO</v>
          </cell>
          <cell r="W175" t="str">
            <v>NO</v>
          </cell>
          <cell r="Z175" t="str">
            <v>No, no tenemos intención de patentar</v>
          </cell>
          <cell r="AA175" t="str">
            <v>No, no tenemos intención de patentar</v>
          </cell>
          <cell r="AB175" t="str">
            <v>Sí, la publicación prevista es en revista científica q1</v>
          </cell>
          <cell r="AC175" t="str">
            <v>Sí, la publicación prevista es en revista científica q1</v>
          </cell>
          <cell r="AD175" t="str">
            <v>False</v>
          </cell>
        </row>
        <row r="176">
          <cell r="A176" t="str">
            <v>0011-1365-2020-000175</v>
          </cell>
          <cell r="B176" t="str">
            <v>LÍMITES DE OPERACIÓN EN SISTEMAS MULTITERMOSIFÓN CON CÁMARAS COMUNES EN EVAPORADOR Y CONDENSADOR</v>
          </cell>
          <cell r="C176">
            <v>301209</v>
          </cell>
          <cell r="D176">
            <v>43922</v>
          </cell>
          <cell r="E176">
            <v>44651</v>
          </cell>
          <cell r="F176" t="str">
            <v>leire.hurtado@alaz-arima.com</v>
          </cell>
          <cell r="G176" t="str">
            <v>Energías renovables y recursos</v>
          </cell>
          <cell r="H176" t="str">
            <v>Energías renovables y recursos</v>
          </cell>
          <cell r="I176" t="str">
            <v>Manufactura avanzada</v>
          </cell>
          <cell r="J176" t="str">
            <v>Manufactura avanzada</v>
          </cell>
          <cell r="K176" t="str">
            <v>Disminución del consumo de energías fósiles</v>
          </cell>
          <cell r="L176" t="str">
            <v>Disminución del consumo de energías fósiles</v>
          </cell>
          <cell r="M176" t="str">
            <v>Empresa</v>
          </cell>
          <cell r="N176" t="str">
            <v>Empresa</v>
          </cell>
          <cell r="O176" t="str">
            <v>Pequeña</v>
          </cell>
          <cell r="P176" t="str">
            <v>Pequeña</v>
          </cell>
          <cell r="Q176" t="str">
            <v>Transferencia del conocimiento</v>
          </cell>
          <cell r="R176" t="str">
            <v>Transferencia del conocimiento</v>
          </cell>
          <cell r="S176" t="str">
            <v>SI</v>
          </cell>
          <cell r="T176" t="str">
            <v>SI</v>
          </cell>
          <cell r="V176" t="str">
            <v>NO</v>
          </cell>
          <cell r="W176" t="str">
            <v>NO</v>
          </cell>
          <cell r="Z176" t="str">
            <v>No, no tenemos intención de patentar</v>
          </cell>
          <cell r="AA176" t="str">
            <v>No, no tenemos intención de patentar</v>
          </cell>
          <cell r="AB176" t="str">
            <v>Sí, la publicación prevista es en revista científica q1</v>
          </cell>
          <cell r="AC176" t="str">
            <v>Sí, la publicación prevista es en revista científica q1</v>
          </cell>
          <cell r="AD176" t="str">
            <v>False</v>
          </cell>
        </row>
        <row r="177">
          <cell r="A177" t="str">
            <v>0011-1365-2020-000176</v>
          </cell>
          <cell r="B177" t="str">
            <v>INVESTIGACIÓN EN DISEÑO, MATERIALES Y TRATAMIENTOS AVANZADOS PARA LA MEJORA DEL PROCESO DE REPELADO</v>
          </cell>
          <cell r="C177">
            <v>80078</v>
          </cell>
          <cell r="D177">
            <v>43952</v>
          </cell>
          <cell r="E177">
            <v>44561</v>
          </cell>
          <cell r="F177" t="str">
            <v>aursua@ain.es</v>
          </cell>
          <cell r="G177" t="str">
            <v>Automoción y mecatrónica</v>
          </cell>
          <cell r="H177" t="str">
            <v>Automoción y mecatrónica</v>
          </cell>
          <cell r="I177" t="str">
            <v>Manufactura avanzada</v>
          </cell>
          <cell r="J177" t="str">
            <v>Manufactura avanzada</v>
          </cell>
          <cell r="K177" t="str">
            <v>Transformación 4.0 de la industria navarra</v>
          </cell>
          <cell r="L177" t="str">
            <v>Transformación 4.0 de la industria navarra</v>
          </cell>
          <cell r="M177" t="str">
            <v>Organismo de investigación</v>
          </cell>
          <cell r="N177" t="str">
            <v>Organismo de investigación</v>
          </cell>
          <cell r="O177" t="str">
            <v>Organismo de investigación</v>
          </cell>
          <cell r="P177" t="str">
            <v>Organismo de investigación</v>
          </cell>
          <cell r="Q177" t="str">
            <v>Transferencia del conocimiento</v>
          </cell>
          <cell r="R177" t="str">
            <v>Transferencia del conocimiento</v>
          </cell>
          <cell r="S177" t="str">
            <v>SI</v>
          </cell>
          <cell r="T177" t="str">
            <v>SI</v>
          </cell>
          <cell r="V177" t="str">
            <v>NO</v>
          </cell>
          <cell r="W177" t="str">
            <v>NO</v>
          </cell>
          <cell r="Z177" t="str">
            <v>No, no tenemos intención de patentar</v>
          </cell>
          <cell r="AA177" t="str">
            <v>No, no tenemos intención de patentar</v>
          </cell>
          <cell r="AB177" t="str">
            <v>Sí, la publicación prevista es en revista científica q1</v>
          </cell>
          <cell r="AC177" t="str">
            <v>Sí, la publicación prevista es en revista científica q1</v>
          </cell>
          <cell r="AD177" t="str">
            <v>False</v>
          </cell>
        </row>
        <row r="178">
          <cell r="A178" t="str">
            <v>0011-1365-2020-000177</v>
          </cell>
          <cell r="B178" t="str">
            <v>Entrenamiento automático de redes neuronales mediante interpretación de señales cerebrales con tecnología BCI</v>
          </cell>
          <cell r="C178">
            <v>345046.67</v>
          </cell>
          <cell r="D178">
            <v>43922</v>
          </cell>
          <cell r="E178">
            <v>44651</v>
          </cell>
          <cell r="F178" t="str">
            <v>jsantos@copysan.com</v>
          </cell>
          <cell r="G178" t="str">
            <v>Automoción y mecatrónica</v>
          </cell>
          <cell r="H178" t="str">
            <v>Automoción y mecatrónica</v>
          </cell>
          <cell r="I178" t="str">
            <v>Tic</v>
          </cell>
          <cell r="J178" t="str">
            <v>Tic</v>
          </cell>
          <cell r="K178" t="str">
            <v>Transformación 4.0 de la industria navarra</v>
          </cell>
          <cell r="L178" t="str">
            <v>Transformación 4.0 de la industria navarra</v>
          </cell>
          <cell r="M178" t="str">
            <v>Empresa</v>
          </cell>
          <cell r="N178" t="str">
            <v>Empresa</v>
          </cell>
          <cell r="O178" t="str">
            <v>Pequeña</v>
          </cell>
          <cell r="P178" t="str">
            <v>Pequeña</v>
          </cell>
          <cell r="Q178" t="str">
            <v>Individual</v>
          </cell>
          <cell r="R178" t="str">
            <v>Individual</v>
          </cell>
          <cell r="S178" t="str">
            <v>SI</v>
          </cell>
          <cell r="T178" t="str">
            <v>SI</v>
          </cell>
          <cell r="U178" t="str">
            <v>15-A-182-00061022</v>
          </cell>
          <cell r="V178" t="str">
            <v>NO</v>
          </cell>
          <cell r="W178" t="str">
            <v>NO</v>
          </cell>
          <cell r="Z178" t="str">
            <v>Sí, la patente prevista es europea</v>
          </cell>
          <cell r="AA178" t="str">
            <v>Sí, la patente prevista es europea</v>
          </cell>
          <cell r="AB178" t="str">
            <v>No, no tenemos prevista publicación</v>
          </cell>
          <cell r="AC178" t="str">
            <v>No, no tenemos prevista publicación</v>
          </cell>
          <cell r="AD178" t="str">
            <v>False</v>
          </cell>
        </row>
        <row r="179">
          <cell r="A179" t="str">
            <v>0011-1365-2020-000178</v>
          </cell>
          <cell r="B179" t="str">
            <v>LÍMITES DE OPERACIÓN EN SISTEMAS MULTITERMOSIFÓN CON CÁMARAS COMUNES EN EVAPORADOR Y CONDENSADOR</v>
          </cell>
          <cell r="C179">
            <v>145404</v>
          </cell>
          <cell r="D179">
            <v>43922</v>
          </cell>
          <cell r="E179">
            <v>44651</v>
          </cell>
          <cell r="F179" t="str">
            <v>eerauzquin@naitec.es</v>
          </cell>
          <cell r="G179" t="str">
            <v>Energías renovables y recursos</v>
          </cell>
          <cell r="H179" t="str">
            <v>Energías renovables y recursos</v>
          </cell>
          <cell r="I179" t="str">
            <v>Manufactura avanzada</v>
          </cell>
          <cell r="J179" t="str">
            <v>Manufactura avanzada</v>
          </cell>
          <cell r="K179" t="str">
            <v>Disminución del consumo de energías fósiles</v>
          </cell>
          <cell r="L179" t="str">
            <v>Disminución del consumo de energías fósiles</v>
          </cell>
          <cell r="M179" t="str">
            <v>Organismo de investigación</v>
          </cell>
          <cell r="N179" t="str">
            <v>Organismo de investigación</v>
          </cell>
          <cell r="O179" t="str">
            <v>Organismo de investigación</v>
          </cell>
          <cell r="P179" t="str">
            <v>Organismo de investigación</v>
          </cell>
          <cell r="Q179" t="str">
            <v>Transferencia del conocimiento</v>
          </cell>
          <cell r="R179" t="str">
            <v>Transferencia del conocimiento</v>
          </cell>
          <cell r="S179" t="str">
            <v>NO</v>
          </cell>
          <cell r="T179" t="str">
            <v>NO</v>
          </cell>
          <cell r="U179" t="str">
            <v>Organismo de Investigacion</v>
          </cell>
          <cell r="V179" t="str">
            <v>NO</v>
          </cell>
          <cell r="W179" t="str">
            <v>NO</v>
          </cell>
          <cell r="Z179" t="str">
            <v>No, no tenemos intención de patentar</v>
          </cell>
          <cell r="AA179" t="str">
            <v>No, no tenemos intención de patentar</v>
          </cell>
          <cell r="AB179" t="str">
            <v>Sí, la publicación prevista es en revista científica q1</v>
          </cell>
          <cell r="AC179" t="str">
            <v>Sí, la publicación prevista es en revista científica q1</v>
          </cell>
          <cell r="AD179" t="str">
            <v>False</v>
          </cell>
        </row>
        <row r="180">
          <cell r="A180" t="str">
            <v>0011-1365-2020-000179</v>
          </cell>
          <cell r="B180" t="str">
            <v>Nuevas estrategias agronómicas de control de enfermedades fúngicas en viña</v>
          </cell>
          <cell r="C180">
            <v>69220.83</v>
          </cell>
          <cell r="D180">
            <v>43922</v>
          </cell>
          <cell r="E180">
            <v>44561</v>
          </cell>
          <cell r="F180" t="str">
            <v>jlizarraga@bodegaotazu.es</v>
          </cell>
          <cell r="G180" t="str">
            <v>Cadena alimentaria</v>
          </cell>
          <cell r="H180" t="str">
            <v>Cadena alimentaria</v>
          </cell>
          <cell r="I180" t="str">
            <v>Biotecnología</v>
          </cell>
          <cell r="J180" t="str">
            <v>Biotecnología</v>
          </cell>
          <cell r="K180" t="str">
            <v>Apuesta por la alimentación saludable</v>
          </cell>
          <cell r="L180" t="str">
            <v>Apuesta por la alimentación saludable</v>
          </cell>
          <cell r="M180" t="str">
            <v>Empresa</v>
          </cell>
          <cell r="N180" t="str">
            <v>Empresa</v>
          </cell>
          <cell r="O180" t="str">
            <v>Pequeña</v>
          </cell>
          <cell r="P180" t="str">
            <v>Pequeña</v>
          </cell>
          <cell r="Q180" t="str">
            <v>Cooperativo</v>
          </cell>
          <cell r="R180" t="str">
            <v>Cooperativo</v>
          </cell>
          <cell r="S180" t="str">
            <v>SI</v>
          </cell>
          <cell r="T180" t="str">
            <v>SI</v>
          </cell>
          <cell r="V180" t="str">
            <v>NO</v>
          </cell>
          <cell r="W180" t="str">
            <v>NO</v>
          </cell>
          <cell r="Z180" t="str">
            <v>No, no tenemos intención de patentar</v>
          </cell>
          <cell r="AA180" t="str">
            <v>No, no tenemos intención de patentar</v>
          </cell>
          <cell r="AB180" t="str">
            <v>No, no tenemos prevista publicación</v>
          </cell>
          <cell r="AC180" t="str">
            <v>No, no tenemos prevista publicación</v>
          </cell>
          <cell r="AD180" t="str">
            <v>False</v>
          </cell>
        </row>
        <row r="181">
          <cell r="A181" t="str">
            <v>0011-1365-2020-000180</v>
          </cell>
          <cell r="B181" t="str">
            <v>DESARROLLO DE UNA VARIEDAD DE PAN DE BAJO ÍNDICE GLUCÉMICO CON EXCELENTES PROPIEDADES ORGANOLÉPTICAS</v>
          </cell>
          <cell r="C181">
            <v>190122.52</v>
          </cell>
          <cell r="D181">
            <v>44013</v>
          </cell>
          <cell r="E181">
            <v>44561</v>
          </cell>
          <cell r="F181" t="str">
            <v>jituraine@monbake.com</v>
          </cell>
          <cell r="G181" t="str">
            <v>Cadena alimentaria</v>
          </cell>
          <cell r="H181" t="str">
            <v>Cadena alimentaria</v>
          </cell>
          <cell r="I181" t="str">
            <v>Otros</v>
          </cell>
          <cell r="J181" t="str">
            <v>Otros</v>
          </cell>
          <cell r="K181" t="str">
            <v>Apuesta por la alimentación saludable</v>
          </cell>
          <cell r="L181" t="str">
            <v>Apuesta por la alimentación saludable</v>
          </cell>
          <cell r="M181" t="str">
            <v>Empresa</v>
          </cell>
          <cell r="N181" t="str">
            <v>Empresa</v>
          </cell>
          <cell r="O181" t="str">
            <v>Grande</v>
          </cell>
          <cell r="P181" t="str">
            <v>Grande</v>
          </cell>
          <cell r="Q181" t="str">
            <v>Individual</v>
          </cell>
          <cell r="R181" t="str">
            <v>Individual</v>
          </cell>
          <cell r="S181" t="str">
            <v>SI</v>
          </cell>
          <cell r="T181" t="str">
            <v>SI</v>
          </cell>
          <cell r="U181" t="str">
            <v>15-A-107-00041112</v>
          </cell>
          <cell r="V181" t="str">
            <v>NO</v>
          </cell>
          <cell r="W181" t="str">
            <v>NO</v>
          </cell>
          <cell r="Z181" t="str">
            <v>No, no tenemos intención de patentar</v>
          </cell>
          <cell r="AA181" t="str">
            <v>No, no tenemos intención de patentar</v>
          </cell>
          <cell r="AB181" t="str">
            <v>No, no tenemos prevista publicación</v>
          </cell>
          <cell r="AC181" t="str">
            <v>No, no tenemos prevista publicación</v>
          </cell>
          <cell r="AD181" t="str">
            <v>False</v>
          </cell>
        </row>
        <row r="182">
          <cell r="A182" t="str">
            <v>0011-1365-2020-000181</v>
          </cell>
          <cell r="B182" t="str">
            <v>“Desarrollo y validación de nanoproductos y protocolos integrales de restauración compatibles sobre materiales pétreos” (RESTOPIC)</v>
          </cell>
          <cell r="C182">
            <v>139677</v>
          </cell>
          <cell r="D182">
            <v>43922</v>
          </cell>
          <cell r="E182">
            <v>44651</v>
          </cell>
          <cell r="F182" t="str">
            <v>tecnan@tecnan-nanomat.es</v>
          </cell>
          <cell r="G182" t="str">
            <v>Energías renovables y recursos</v>
          </cell>
          <cell r="H182" t="str">
            <v>Energías renovables y recursos</v>
          </cell>
          <cell r="I182" t="str">
            <v>Manufactura avanzada</v>
          </cell>
          <cell r="J182" t="str">
            <v>Manufactura avanzada</v>
          </cell>
          <cell r="K182" t="str">
            <v>Nuevos nichos de oferta turística integral</v>
          </cell>
          <cell r="L182" t="str">
            <v>Nuevos nichos de oferta turística integral</v>
          </cell>
          <cell r="M182" t="str">
            <v>Empresa</v>
          </cell>
          <cell r="N182" t="str">
            <v>Empresa</v>
          </cell>
          <cell r="O182" t="str">
            <v>Pequeña</v>
          </cell>
          <cell r="P182" t="str">
            <v>Pequeña</v>
          </cell>
          <cell r="Q182" t="str">
            <v>Cooperativo</v>
          </cell>
          <cell r="R182" t="str">
            <v>Cooperativo</v>
          </cell>
          <cell r="S182" t="str">
            <v>SI</v>
          </cell>
          <cell r="T182" t="str">
            <v>SI</v>
          </cell>
          <cell r="V182" t="str">
            <v>NO</v>
          </cell>
          <cell r="W182" t="str">
            <v>NO</v>
          </cell>
          <cell r="Z182" t="str">
            <v>No, no tenemos intención de patentar</v>
          </cell>
          <cell r="AA182" t="str">
            <v>No, no tenemos intención de patentar</v>
          </cell>
          <cell r="AB182" t="str">
            <v>No, no tenemos prevista publicación</v>
          </cell>
          <cell r="AC182" t="str">
            <v>No, no tenemos prevista publicación</v>
          </cell>
          <cell r="AD182" t="str">
            <v>False</v>
          </cell>
        </row>
        <row r="183">
          <cell r="A183" t="str">
            <v>0011-1365-2020-000182</v>
          </cell>
          <cell r="B183" t="str">
            <v>Desarrollo y validación de nanoproductos y protocolos integrales de restauración compatibles sobre materiales pétreos</v>
          </cell>
          <cell r="C183">
            <v>146944</v>
          </cell>
          <cell r="D183">
            <v>43922</v>
          </cell>
          <cell r="E183">
            <v>44651</v>
          </cell>
          <cell r="F183" t="str">
            <v>info@leache.com</v>
          </cell>
          <cell r="G183" t="str">
            <v>Energías renovables y recursos</v>
          </cell>
          <cell r="H183" t="str">
            <v>Energías renovables y recursos</v>
          </cell>
          <cell r="I183" t="str">
            <v>Manufactura avanzada</v>
          </cell>
          <cell r="J183" t="str">
            <v>Manufactura avanzada</v>
          </cell>
          <cell r="K183" t="str">
            <v>Nuevos nichos de oferta turística integral</v>
          </cell>
          <cell r="L183" t="str">
            <v>Nuevos nichos de oferta turística integral</v>
          </cell>
          <cell r="M183" t="str">
            <v>Empresa</v>
          </cell>
          <cell r="N183" t="str">
            <v>Empresa</v>
          </cell>
          <cell r="O183" t="str">
            <v>Pequeña</v>
          </cell>
          <cell r="P183" t="str">
            <v>Pequeña</v>
          </cell>
          <cell r="Q183" t="str">
            <v>Cooperativo</v>
          </cell>
          <cell r="R183" t="str">
            <v>Cooperativo</v>
          </cell>
          <cell r="S183" t="str">
            <v>NO</v>
          </cell>
          <cell r="T183" t="str">
            <v>NO</v>
          </cell>
          <cell r="U183" t="str">
            <v>NO ESTÁ OBLIGADO A ESTAR INSCRITO</v>
          </cell>
          <cell r="V183" t="str">
            <v>NO</v>
          </cell>
          <cell r="W183" t="str">
            <v>NO</v>
          </cell>
          <cell r="Z183" t="str">
            <v>No, no tenemos intención de patentar</v>
          </cell>
          <cell r="AA183" t="str">
            <v>No, no tenemos intención de patentar</v>
          </cell>
          <cell r="AB183" t="str">
            <v>No, no tenemos prevista publicación</v>
          </cell>
          <cell r="AC183" t="str">
            <v>No, no tenemos prevista publicación</v>
          </cell>
          <cell r="AD183" t="str">
            <v>False</v>
          </cell>
        </row>
        <row r="184">
          <cell r="A184" t="str">
            <v>0011-1365-2020-000183</v>
          </cell>
          <cell r="B184" t="str">
            <v>SENSOLAR: DESARROLLO DE NUEVA ARQUITECTURA DE PLANTA SOLAR MÁS EFICIENTE GRACIAS AL USO DE SENSORICA Y ALGORITMOS DE CONTROL AVANZADOS.</v>
          </cell>
          <cell r="C184">
            <v>199387</v>
          </cell>
          <cell r="D184">
            <v>43952</v>
          </cell>
          <cell r="E184">
            <v>44651</v>
          </cell>
          <cell r="F184" t="str">
            <v>aursua@ain.es</v>
          </cell>
          <cell r="G184" t="str">
            <v>Automoción y mecatrónica</v>
          </cell>
          <cell r="H184" t="str">
            <v>Automoción y mecatrónica</v>
          </cell>
          <cell r="I184" t="str">
            <v>Tic</v>
          </cell>
          <cell r="J184" t="str">
            <v>Tic</v>
          </cell>
          <cell r="K184" t="str">
            <v>Transformación 4.0 de la industria navarra</v>
          </cell>
          <cell r="L184" t="str">
            <v>Transformación 4.0 de la industria navarra</v>
          </cell>
          <cell r="M184" t="str">
            <v>Organismo de investigación</v>
          </cell>
          <cell r="N184" t="str">
            <v>Organismo de investigación</v>
          </cell>
          <cell r="O184" t="str">
            <v>Organismo de investigación</v>
          </cell>
          <cell r="P184" t="str">
            <v>Organismo de investigación</v>
          </cell>
          <cell r="Q184" t="str">
            <v>Transferencia del conocimiento</v>
          </cell>
          <cell r="R184" t="str">
            <v>Transferencia del conocimiento</v>
          </cell>
          <cell r="S184" t="str">
            <v>SI</v>
          </cell>
          <cell r="T184" t="str">
            <v>SI</v>
          </cell>
          <cell r="V184" t="str">
            <v>NO</v>
          </cell>
          <cell r="W184" t="str">
            <v>NO</v>
          </cell>
          <cell r="Z184" t="str">
            <v>No, no tenemos intención de patentar</v>
          </cell>
          <cell r="AA184" t="str">
            <v>No, no tenemos intención de patentar</v>
          </cell>
          <cell r="AB184" t="str">
            <v>No, no tenemos prevista publicación</v>
          </cell>
          <cell r="AC184" t="str">
            <v>No, no tenemos prevista publicación</v>
          </cell>
          <cell r="AD184" t="str">
            <v>False</v>
          </cell>
        </row>
        <row r="185">
          <cell r="A185" t="str">
            <v>0011-1365-2020-000184</v>
          </cell>
          <cell r="B185" t="str">
            <v>Nuevas estrategias agronómicas de control de enfermedades fúngicas en viña</v>
          </cell>
          <cell r="C185">
            <v>61440.83</v>
          </cell>
          <cell r="D185">
            <v>43922</v>
          </cell>
          <cell r="E185">
            <v>44561</v>
          </cell>
          <cell r="F185" t="str">
            <v>raul@quadernavia.com</v>
          </cell>
          <cell r="G185" t="str">
            <v>Cadena alimentaria</v>
          </cell>
          <cell r="H185" t="str">
            <v>Cadena alimentaria</v>
          </cell>
          <cell r="I185" t="str">
            <v>Biotecnología</v>
          </cell>
          <cell r="J185" t="str">
            <v>Biotecnología</v>
          </cell>
          <cell r="K185" t="str">
            <v>Apuesta por la alimentación saludable</v>
          </cell>
          <cell r="L185" t="str">
            <v>Apuesta por la alimentación saludable</v>
          </cell>
          <cell r="M185" t="str">
            <v>Empresa</v>
          </cell>
          <cell r="N185" t="str">
            <v>Empresa</v>
          </cell>
          <cell r="O185" t="str">
            <v>Pequeña</v>
          </cell>
          <cell r="P185" t="str">
            <v>Pequeña</v>
          </cell>
          <cell r="Q185" t="str">
            <v>Cooperativo</v>
          </cell>
          <cell r="R185" t="str">
            <v>Cooperativo</v>
          </cell>
          <cell r="S185" t="str">
            <v>SI</v>
          </cell>
          <cell r="T185" t="str">
            <v>SI</v>
          </cell>
          <cell r="V185" t="str">
            <v>NO</v>
          </cell>
          <cell r="W185" t="str">
            <v>NO</v>
          </cell>
          <cell r="Z185" t="str">
            <v>No, no tenemos intención de patentar</v>
          </cell>
          <cell r="AA185" t="str">
            <v>No, no tenemos intención de patentar</v>
          </cell>
          <cell r="AB185" t="str">
            <v>No, no tenemos prevista publicación</v>
          </cell>
          <cell r="AC185" t="str">
            <v>No, no tenemos prevista publicación</v>
          </cell>
          <cell r="AD185" t="str">
            <v>False</v>
          </cell>
        </row>
        <row r="186">
          <cell r="A186" t="str">
            <v>0011-1365-2020-000185</v>
          </cell>
          <cell r="B186" t="str">
            <v>Análisis de etapas de salida y optimización de geometrías de mecanizado para satélites de alta capacidad en banda Q</v>
          </cell>
          <cell r="C186">
            <v>208196.27</v>
          </cell>
          <cell r="D186">
            <v>44075</v>
          </cell>
          <cell r="E186">
            <v>44651</v>
          </cell>
          <cell r="F186" t="str">
            <v>jetxeberria@microlanaerospace.com</v>
          </cell>
          <cell r="G186" t="str">
            <v>Automoción y mecatrónica</v>
          </cell>
          <cell r="H186" t="str">
            <v>Automoción y mecatrónica</v>
          </cell>
          <cell r="I186" t="str">
            <v>Manufactura avanzada</v>
          </cell>
          <cell r="J186" t="str">
            <v>Manufactura avanzada</v>
          </cell>
          <cell r="K186" t="str">
            <v>Transformación 4.0 de la industria navarra</v>
          </cell>
          <cell r="L186" t="str">
            <v>Transformación 4.0 de la industria navarra</v>
          </cell>
          <cell r="M186" t="str">
            <v>Empresa</v>
          </cell>
          <cell r="N186" t="str">
            <v>Empresa</v>
          </cell>
          <cell r="O186" t="str">
            <v>Pequeña</v>
          </cell>
          <cell r="P186" t="str">
            <v>Pequeña</v>
          </cell>
          <cell r="Q186" t="str">
            <v>Transferencia del conocimiento</v>
          </cell>
          <cell r="R186" t="str">
            <v>Transferencia del conocimiento</v>
          </cell>
          <cell r="S186" t="str">
            <v>SI</v>
          </cell>
          <cell r="T186" t="str">
            <v>SI</v>
          </cell>
          <cell r="V186" t="str">
            <v>NO</v>
          </cell>
          <cell r="W186" t="str">
            <v>NO</v>
          </cell>
          <cell r="Z186" t="str">
            <v>No, no tenemos intención de patentar</v>
          </cell>
          <cell r="AA186" t="str">
            <v>No, no tenemos intención de patentar</v>
          </cell>
          <cell r="AB186" t="str">
            <v>Sí, la publicación prevista es en revista científica q1</v>
          </cell>
          <cell r="AC186" t="str">
            <v>Sí, la publicación prevista es en revista científica q1</v>
          </cell>
          <cell r="AD186" t="str">
            <v>False</v>
          </cell>
        </row>
        <row r="187">
          <cell r="A187" t="str">
            <v>0011-1365-2020-000186</v>
          </cell>
          <cell r="B187" t="str">
            <v>“Desarrollo de barricas siempre limpias mediante la aplicación controlada de recubrimientos nanotecnológicos” (BARRICLEAN)</v>
          </cell>
          <cell r="C187">
            <v>193577</v>
          </cell>
          <cell r="D187">
            <v>43922</v>
          </cell>
          <cell r="E187">
            <v>44651</v>
          </cell>
          <cell r="F187" t="str">
            <v>cbueno@toneleriaintona.com</v>
          </cell>
          <cell r="G187" t="str">
            <v>Cadena alimentaria</v>
          </cell>
          <cell r="H187" t="str">
            <v>Cadena alimentaria</v>
          </cell>
          <cell r="I187" t="str">
            <v>Manufactura avanzada</v>
          </cell>
          <cell r="J187" t="str">
            <v>Manufactura avanzada</v>
          </cell>
          <cell r="K187" t="str">
            <v>Vertebrar la cadena de valor alimentaria</v>
          </cell>
          <cell r="L187" t="str">
            <v>Vertebrar la cadena de valor alimentaria</v>
          </cell>
          <cell r="M187" t="str">
            <v>Empresa</v>
          </cell>
          <cell r="N187" t="str">
            <v>Empresa</v>
          </cell>
          <cell r="O187" t="str">
            <v>Grande</v>
          </cell>
          <cell r="P187" t="str">
            <v>Grande</v>
          </cell>
          <cell r="Q187" t="str">
            <v>Transferencia del conocimiento</v>
          </cell>
          <cell r="R187" t="str">
            <v>Transferencia del conocimiento</v>
          </cell>
          <cell r="S187" t="str">
            <v>SI</v>
          </cell>
          <cell r="T187" t="str">
            <v>SI</v>
          </cell>
          <cell r="V187" t="str">
            <v>NO</v>
          </cell>
          <cell r="W187" t="str">
            <v>NO</v>
          </cell>
          <cell r="Z187" t="str">
            <v>No, no tenemos intención de patentar</v>
          </cell>
          <cell r="AA187" t="str">
            <v>No, no tenemos intención de patentar</v>
          </cell>
          <cell r="AB187" t="str">
            <v>No, no tenemos prevista publicación</v>
          </cell>
          <cell r="AC187" t="str">
            <v>No, no tenemos prevista publicación</v>
          </cell>
          <cell r="AD187" t="str">
            <v>False</v>
          </cell>
        </row>
        <row r="188">
          <cell r="A188" t="str">
            <v>0011-1365-2020-000187</v>
          </cell>
          <cell r="B188" t="str">
            <v>DESARROLLO DE UNA TÉCNICA DE SENSORIZADO ULTRASÓNICO PARA INTERFACES DISRUPTIVOS</v>
          </cell>
          <cell r="C188">
            <v>255800.71</v>
          </cell>
          <cell r="D188">
            <v>43922</v>
          </cell>
          <cell r="E188">
            <v>44651</v>
          </cell>
          <cell r="F188" t="str">
            <v>acasanova@embega.es</v>
          </cell>
          <cell r="G188" t="str">
            <v>Automoción y mecatrónica</v>
          </cell>
          <cell r="H188" t="str">
            <v>Automoción y mecatrónica</v>
          </cell>
          <cell r="I188" t="str">
            <v>Manufactura avanzada</v>
          </cell>
          <cell r="J188" t="str">
            <v>Manufactura avanzada</v>
          </cell>
          <cell r="K188" t="str">
            <v>Transformación 4.0 de la industria navarra</v>
          </cell>
          <cell r="L188" t="str">
            <v>Transformación 4.0 de la industria navarra</v>
          </cell>
          <cell r="M188" t="str">
            <v>Empresa</v>
          </cell>
          <cell r="N188" t="str">
            <v>Empresa</v>
          </cell>
          <cell r="O188" t="str">
            <v>Mediana</v>
          </cell>
          <cell r="P188" t="str">
            <v>Mediana</v>
          </cell>
          <cell r="Q188" t="str">
            <v>Individual</v>
          </cell>
          <cell r="R188" t="str">
            <v>Individual</v>
          </cell>
          <cell r="S188" t="str">
            <v>SI</v>
          </cell>
          <cell r="T188" t="str">
            <v>SI</v>
          </cell>
          <cell r="U188" t="str">
            <v>15-A-256-00007210</v>
          </cell>
          <cell r="V188" t="str">
            <v>SI</v>
          </cell>
          <cell r="W188" t="str">
            <v>SI</v>
          </cell>
          <cell r="X188">
            <v>43896</v>
          </cell>
          <cell r="Y188" t="str">
            <v>Ayudas a la contratación de personal investigador y tecnológico 2020 (Gobierno de Navarra)  CDTI PID</v>
          </cell>
          <cell r="Z188" t="str">
            <v>Sí, la patente prevista es europea</v>
          </cell>
          <cell r="AA188" t="str">
            <v>Sí, la patente prevista es europea</v>
          </cell>
          <cell r="AB188" t="str">
            <v>Sí, la publicación prevista es en revista científica</v>
          </cell>
          <cell r="AC188" t="str">
            <v>Sí, la publicación prevista es en revista científica</v>
          </cell>
          <cell r="AD188" t="str">
            <v>False</v>
          </cell>
        </row>
        <row r="189">
          <cell r="A189" t="str">
            <v>0011-1365-2020-000188</v>
          </cell>
          <cell r="B189" t="str">
            <v>NUEVOS PROBIOTICOS SUSTITUTIVOS DE ANTIBIOTICOS Y DEL ÓXIDO DE ZINC PARA MEJORA DE LA SANIDAD PORCINA (ANISAN)</v>
          </cell>
          <cell r="C189">
            <v>131929</v>
          </cell>
          <cell r="D189">
            <v>43922</v>
          </cell>
          <cell r="E189">
            <v>44651</v>
          </cell>
          <cell r="F189" t="str">
            <v xml:space="preserve">santiago.cenoz@dfblueagro.com </v>
          </cell>
          <cell r="G189" t="str">
            <v>Cadena alimentaria</v>
          </cell>
          <cell r="H189" t="str">
            <v>Cadena alimentaria</v>
          </cell>
          <cell r="I189" t="str">
            <v>Biotecnología</v>
          </cell>
          <cell r="J189" t="str">
            <v>Biotecnología</v>
          </cell>
          <cell r="K189" t="str">
            <v>Apuesta por la alimentación saludable</v>
          </cell>
          <cell r="L189" t="str">
            <v>Apuesta por la alimentación saludable</v>
          </cell>
          <cell r="M189" t="str">
            <v>Empresa</v>
          </cell>
          <cell r="N189" t="str">
            <v>Empresa</v>
          </cell>
          <cell r="O189" t="str">
            <v>Pequeña</v>
          </cell>
          <cell r="P189" t="str">
            <v>Pequeña</v>
          </cell>
          <cell r="Q189" t="str">
            <v>Cooperativo</v>
          </cell>
          <cell r="R189" t="str">
            <v>Cooperativo</v>
          </cell>
          <cell r="S189" t="str">
            <v>NO</v>
          </cell>
          <cell r="T189" t="str">
            <v>NO</v>
          </cell>
          <cell r="U189" t="str">
            <v>no procede</v>
          </cell>
          <cell r="V189" t="str">
            <v>NO</v>
          </cell>
          <cell r="W189" t="str">
            <v>NO</v>
          </cell>
          <cell r="Z189" t="str">
            <v>No, no tenemos intención de patentar</v>
          </cell>
          <cell r="AA189" t="str">
            <v>No, no tenemos intención de patentar</v>
          </cell>
          <cell r="AB189" t="str">
            <v>No, no tenemos prevista publicación</v>
          </cell>
          <cell r="AC189" t="str">
            <v>No, no tenemos prevista publicación</v>
          </cell>
          <cell r="AD189" t="str">
            <v>False</v>
          </cell>
        </row>
        <row r="190">
          <cell r="A190" t="str">
            <v>0011-1365-2020-000189</v>
          </cell>
          <cell r="B190" t="str">
            <v>Gestión del vacío para automatización de stocks</v>
          </cell>
          <cell r="C190">
            <v>270980.78999999998</v>
          </cell>
          <cell r="D190">
            <v>43922</v>
          </cell>
          <cell r="E190">
            <v>44651</v>
          </cell>
          <cell r="F190" t="str">
            <v>acasanova@embega.es</v>
          </cell>
          <cell r="G190" t="str">
            <v>Automoción y mecatrónica</v>
          </cell>
          <cell r="H190" t="str">
            <v>Automoción y mecatrónica</v>
          </cell>
          <cell r="I190" t="str">
            <v>Tic</v>
          </cell>
          <cell r="J190" t="str">
            <v>Tic</v>
          </cell>
          <cell r="K190" t="str">
            <v>Transformación 4.0 de la industria navarra</v>
          </cell>
          <cell r="L190" t="str">
            <v>Transformación 4.0 de la industria navarra</v>
          </cell>
          <cell r="M190" t="str">
            <v>Empresa</v>
          </cell>
          <cell r="N190" t="str">
            <v>Empresa</v>
          </cell>
          <cell r="O190" t="str">
            <v>Mediana</v>
          </cell>
          <cell r="P190" t="str">
            <v>Mediana</v>
          </cell>
          <cell r="Q190" t="str">
            <v>Cooperativo</v>
          </cell>
          <cell r="R190" t="str">
            <v>Cooperativo</v>
          </cell>
          <cell r="S190" t="str">
            <v>SI</v>
          </cell>
          <cell r="T190" t="str">
            <v>SI</v>
          </cell>
          <cell r="U190" t="str">
            <v>15-A-256-00007210</v>
          </cell>
          <cell r="V190" t="str">
            <v>NO</v>
          </cell>
          <cell r="W190" t="str">
            <v>NO</v>
          </cell>
          <cell r="Z190" t="str">
            <v>Sí, la patente prevista es europea</v>
          </cell>
          <cell r="AA190" t="str">
            <v>Sí, la patente prevista es europea</v>
          </cell>
          <cell r="AB190" t="str">
            <v>No, no tenemos prevista publicación</v>
          </cell>
          <cell r="AC190" t="str">
            <v>No, no tenemos prevista publicación</v>
          </cell>
          <cell r="AD190" t="str">
            <v>False</v>
          </cell>
        </row>
        <row r="191">
          <cell r="A191" t="str">
            <v>0011-1365-2020-000190</v>
          </cell>
          <cell r="B191" t="str">
            <v>ELABORACIÓN DE CREMAS DE CACAO Y BATIDOS ECOLÓGICOS, VEGANOS Y SIN GLUTEN A BASE DE MIJO.</v>
          </cell>
          <cell r="C191">
            <v>202295</v>
          </cell>
          <cell r="D191">
            <v>43922</v>
          </cell>
          <cell r="E191">
            <v>44561</v>
          </cell>
          <cell r="F191" t="str">
            <v>directorgerente@ekolo.es</v>
          </cell>
          <cell r="G191" t="str">
            <v>Cadena alimentaria</v>
          </cell>
          <cell r="H191" t="str">
            <v>Cadena alimentaria</v>
          </cell>
          <cell r="I191" t="str">
            <v>Otros</v>
          </cell>
          <cell r="J191" t="str">
            <v>Otros</v>
          </cell>
          <cell r="K191" t="str">
            <v>Apuesta por la alimentación saludable</v>
          </cell>
          <cell r="L191" t="str">
            <v>Apuesta por la alimentación saludable</v>
          </cell>
          <cell r="M191" t="str">
            <v>Empresa</v>
          </cell>
          <cell r="N191" t="str">
            <v>Empresa</v>
          </cell>
          <cell r="O191" t="str">
            <v>Pequeña</v>
          </cell>
          <cell r="P191" t="str">
            <v>Pequeña</v>
          </cell>
          <cell r="Q191" t="str">
            <v>Individual</v>
          </cell>
          <cell r="R191" t="str">
            <v>Individual</v>
          </cell>
          <cell r="S191" t="str">
            <v>SI</v>
          </cell>
          <cell r="T191" t="str">
            <v>SI</v>
          </cell>
          <cell r="U191" t="str">
            <v>15P02036090092017</v>
          </cell>
          <cell r="V191" t="str">
            <v>NO</v>
          </cell>
          <cell r="W191" t="str">
            <v>NO</v>
          </cell>
          <cell r="Z191" t="str">
            <v>No, no tenemos intención de patentar</v>
          </cell>
          <cell r="AA191" t="str">
            <v>No, no tenemos intención de patentar</v>
          </cell>
          <cell r="AB191" t="str">
            <v>No, no tenemos prevista publicación</v>
          </cell>
          <cell r="AC191" t="str">
            <v>No, no tenemos prevista publicación</v>
          </cell>
          <cell r="AD191" t="str">
            <v>False</v>
          </cell>
        </row>
        <row r="192">
          <cell r="A192" t="str">
            <v>0011-1365-2020-000191</v>
          </cell>
          <cell r="B192" t="str">
            <v>KAILA: PLATAFORMA DE SERVICIOS DIGITALES PARA LA INNOVACIÓN ABIERTA BASADA EN TECNOLOGÍAS DE DEEP LEARNING</v>
          </cell>
          <cell r="C192">
            <v>403819</v>
          </cell>
          <cell r="D192">
            <v>43922</v>
          </cell>
          <cell r="E192">
            <v>44651</v>
          </cell>
          <cell r="F192" t="str">
            <v>pibarrola@zabala.es</v>
          </cell>
          <cell r="G192" t="str">
            <v>Automoción y mecatrónica</v>
          </cell>
          <cell r="H192" t="str">
            <v>Automoción y mecatrónica</v>
          </cell>
          <cell r="I192" t="str">
            <v>Tic</v>
          </cell>
          <cell r="J192" t="str">
            <v>Tic</v>
          </cell>
          <cell r="K192" t="str">
            <v>Transformación 4.0 de la industria navarra</v>
          </cell>
          <cell r="L192" t="str">
            <v>Transformación 4.0 de la industria navarra</v>
          </cell>
          <cell r="M192" t="str">
            <v>Empresa</v>
          </cell>
          <cell r="N192" t="str">
            <v>Empresa</v>
          </cell>
          <cell r="O192" t="str">
            <v>Mediana</v>
          </cell>
          <cell r="P192" t="str">
            <v>Mediana</v>
          </cell>
          <cell r="Q192" t="str">
            <v>Individual</v>
          </cell>
          <cell r="R192" t="str">
            <v>Individual</v>
          </cell>
          <cell r="S192" t="str">
            <v>NO</v>
          </cell>
          <cell r="T192" t="str">
            <v>NO</v>
          </cell>
          <cell r="U192" t="str">
            <v>No aplica</v>
          </cell>
          <cell r="V192" t="str">
            <v>NO</v>
          </cell>
          <cell r="W192" t="str">
            <v>NO</v>
          </cell>
          <cell r="Z192" t="str">
            <v>No, no tenemos intención de patentar</v>
          </cell>
          <cell r="AA192" t="str">
            <v>No, no tenemos intención de patentar</v>
          </cell>
          <cell r="AB192" t="str">
            <v>No, no tenemos prevista publicación</v>
          </cell>
          <cell r="AC192" t="str">
            <v>No, no tenemos prevista publicación</v>
          </cell>
          <cell r="AD192" t="str">
            <v>True</v>
          </cell>
        </row>
        <row r="193">
          <cell r="A193" t="str">
            <v>0011-1365-2020-000192</v>
          </cell>
          <cell r="B193" t="str">
            <v>Diseño y desarrollo de un sistema constructivo completo e industrializable en madera con Lignumstrand, con mínima huella de carbono, herramienta de cálculo y muestra en obra.</v>
          </cell>
          <cell r="C193">
            <v>36057</v>
          </cell>
          <cell r="D193">
            <v>43922</v>
          </cell>
          <cell r="E193">
            <v>44286</v>
          </cell>
          <cell r="F193" t="str">
            <v>o.saldisere@tabsal.com</v>
          </cell>
          <cell r="G193" t="str">
            <v>Energías renovables y recursos</v>
          </cell>
          <cell r="H193" t="str">
            <v>Energías renovables y recursos</v>
          </cell>
          <cell r="I193" t="str">
            <v>Otros</v>
          </cell>
          <cell r="J193" t="str">
            <v>Otros</v>
          </cell>
          <cell r="K193" t="str">
            <v>Promover la economía circular</v>
          </cell>
          <cell r="L193" t="str">
            <v>Promover la economía circular</v>
          </cell>
          <cell r="M193" t="str">
            <v>Empresa</v>
          </cell>
          <cell r="N193" t="str">
            <v>Empresa</v>
          </cell>
          <cell r="O193" t="str">
            <v>Pequeña</v>
          </cell>
          <cell r="P193" t="str">
            <v>Pequeña</v>
          </cell>
          <cell r="Q193" t="str">
            <v>Transferencia del conocimiento</v>
          </cell>
          <cell r="R193" t="str">
            <v>Transferencia del conocimiento</v>
          </cell>
          <cell r="S193" t="str">
            <v>SI</v>
          </cell>
          <cell r="T193" t="str">
            <v>SI</v>
          </cell>
          <cell r="U193" t="str">
            <v>15-A-162-00061018</v>
          </cell>
          <cell r="V193" t="str">
            <v>NO</v>
          </cell>
          <cell r="W193" t="str">
            <v>NO</v>
          </cell>
          <cell r="Z193" t="str">
            <v>No, no tenemos intención de patentar</v>
          </cell>
          <cell r="AA193" t="str">
            <v>No, no tenemos intención de patentar</v>
          </cell>
          <cell r="AB193" t="str">
            <v>Sí, la publicación prevista es en revista científica</v>
          </cell>
          <cell r="AC193" t="str">
            <v>Sí, la publicación prevista es en revista científica</v>
          </cell>
          <cell r="AD193" t="str">
            <v>False</v>
          </cell>
        </row>
        <row r="194">
          <cell r="A194" t="str">
            <v>0011-1365-2020-000193</v>
          </cell>
          <cell r="B194" t="str">
            <v>NODEST PROYECTO STEM DE PROGRAMACION EDUCATIVA</v>
          </cell>
          <cell r="C194">
            <v>372588</v>
          </cell>
          <cell r="D194">
            <v>43922</v>
          </cell>
          <cell r="E194">
            <v>44651</v>
          </cell>
          <cell r="F194" t="str">
            <v>info@sumalim.com</v>
          </cell>
          <cell r="G194" t="str">
            <v>Industrias creativas y digitales</v>
          </cell>
          <cell r="H194" t="str">
            <v>Industrias creativas y digitales</v>
          </cell>
          <cell r="I194" t="str">
            <v>Tic</v>
          </cell>
          <cell r="J194" t="str">
            <v>Tic</v>
          </cell>
          <cell r="K194" t="str">
            <v>Industrias creativas y digitales</v>
          </cell>
          <cell r="L194" t="str">
            <v>Industrias creativas y digitales</v>
          </cell>
          <cell r="M194" t="str">
            <v>Empresa</v>
          </cell>
          <cell r="N194" t="str">
            <v>Empresa</v>
          </cell>
          <cell r="O194" t="str">
            <v>Pequeña</v>
          </cell>
          <cell r="P194" t="str">
            <v>Pequeña</v>
          </cell>
          <cell r="Q194" t="str">
            <v>Individual</v>
          </cell>
          <cell r="R194" t="str">
            <v>Individual</v>
          </cell>
          <cell r="S194" t="str">
            <v>SI</v>
          </cell>
          <cell r="T194" t="str">
            <v>SI</v>
          </cell>
          <cell r="U194" t="str">
            <v>15-A-310-00012500</v>
          </cell>
          <cell r="V194" t="str">
            <v>NO</v>
          </cell>
          <cell r="W194" t="str">
            <v>NO</v>
          </cell>
          <cell r="Z194" t="str">
            <v>Sí, la patente prevista es europea</v>
          </cell>
          <cell r="AA194" t="str">
            <v>Sí, la patente prevista es europea</v>
          </cell>
          <cell r="AB194" t="str">
            <v>Sí, la publicación prevista es en revista científica</v>
          </cell>
          <cell r="AC194" t="str">
            <v>Sí, la publicación prevista es en revista científica</v>
          </cell>
          <cell r="AD194" t="str">
            <v>False</v>
          </cell>
        </row>
        <row r="195">
          <cell r="A195" t="str">
            <v>0011-1365-2020-000194</v>
          </cell>
          <cell r="B195" t="str">
            <v>NUEVO SISTEMA DE TOLDO ANTICONGELAMIENTO INTELIGENTE (TAIL)</v>
          </cell>
          <cell r="C195">
            <v>128600</v>
          </cell>
          <cell r="D195">
            <v>43922</v>
          </cell>
          <cell r="E195">
            <v>44651</v>
          </cell>
          <cell r="F195" t="str">
            <v>lotecna@gmail.com</v>
          </cell>
          <cell r="G195" t="str">
            <v>Automoción y mecatrónica</v>
          </cell>
          <cell r="H195" t="str">
            <v>Automoción y mecatrónica</v>
          </cell>
          <cell r="I195" t="str">
            <v>Tic</v>
          </cell>
          <cell r="J195" t="str">
            <v>Tic</v>
          </cell>
          <cell r="K195" t="str">
            <v>Transformación 4.0 de la industria navarra</v>
          </cell>
          <cell r="L195" t="str">
            <v>Transformación 4.0 de la industria navarra</v>
          </cell>
          <cell r="M195" t="str">
            <v>Empresa</v>
          </cell>
          <cell r="N195" t="str">
            <v>Empresa</v>
          </cell>
          <cell r="O195" t="str">
            <v>Pequeña</v>
          </cell>
          <cell r="P195" t="str">
            <v>Pequeña</v>
          </cell>
          <cell r="Q195" t="str">
            <v>Cooperativo</v>
          </cell>
          <cell r="R195" t="str">
            <v>Cooperativo</v>
          </cell>
          <cell r="S195" t="str">
            <v>NO</v>
          </cell>
          <cell r="T195" t="str">
            <v>NO</v>
          </cell>
          <cell r="U195" t="str">
            <v>En trámite</v>
          </cell>
          <cell r="V195" t="str">
            <v>NO</v>
          </cell>
          <cell r="W195" t="str">
            <v>NO</v>
          </cell>
          <cell r="Z195" t="str">
            <v>Sí, la patente prevista es nacional</v>
          </cell>
          <cell r="AA195" t="str">
            <v>Sí, la patente prevista es nacional</v>
          </cell>
          <cell r="AB195" t="str">
            <v>No, no tenemos prevista publicación</v>
          </cell>
          <cell r="AC195" t="str">
            <v>No, no tenemos prevista publicación</v>
          </cell>
          <cell r="AD195" t="str">
            <v>False</v>
          </cell>
        </row>
        <row r="196">
          <cell r="A196" t="str">
            <v>0011-1365-2020-000195</v>
          </cell>
          <cell r="B196" t="str">
            <v>“Desarrollo de nuevos textiles técnicos ecológicos con propiedades fotocataliticas, para eliminar gases nocivos, y de auto-limpieza” (CLEANAIRTEX)</v>
          </cell>
          <cell r="C196">
            <v>200849</v>
          </cell>
          <cell r="D196">
            <v>43922</v>
          </cell>
          <cell r="E196">
            <v>44651</v>
          </cell>
          <cell r="F196" t="str">
            <v>lurederra@lurederra.es</v>
          </cell>
          <cell r="G196" t="str">
            <v>Energías renovables y recursos</v>
          </cell>
          <cell r="H196" t="str">
            <v>Energías renovables y recursos</v>
          </cell>
          <cell r="I196" t="str">
            <v>Manufactura avanzada</v>
          </cell>
          <cell r="J196" t="str">
            <v>Manufactura avanzada</v>
          </cell>
          <cell r="K196" t="str">
            <v>Promover la economía circular</v>
          </cell>
          <cell r="L196" t="str">
            <v>Promover la economía circular</v>
          </cell>
          <cell r="M196" t="str">
            <v>Organismo de investigación</v>
          </cell>
          <cell r="N196" t="str">
            <v>Organismo de investigación</v>
          </cell>
          <cell r="O196" t="str">
            <v>Pequeña</v>
          </cell>
          <cell r="P196" t="str">
            <v>Pequeña</v>
          </cell>
          <cell r="Q196" t="str">
            <v>Transferencia del conocimiento</v>
          </cell>
          <cell r="R196" t="str">
            <v>Transferencia del conocimiento</v>
          </cell>
          <cell r="S196" t="str">
            <v>NO</v>
          </cell>
          <cell r="T196" t="str">
            <v>NO</v>
          </cell>
          <cell r="U196" t="str">
            <v>No procede</v>
          </cell>
          <cell r="V196" t="str">
            <v>SI</v>
          </cell>
          <cell r="W196" t="str">
            <v>SI</v>
          </cell>
          <cell r="X196">
            <v>43762</v>
          </cell>
          <cell r="Y196" t="str">
            <v>Ministerio de Ciencia e Innovación</v>
          </cell>
          <cell r="Z196" t="str">
            <v>No, no tenemos intención de patentar</v>
          </cell>
          <cell r="AA196" t="str">
            <v>No, no tenemos intención de patentar</v>
          </cell>
          <cell r="AB196" t="str">
            <v>No, no tenemos prevista publicación</v>
          </cell>
          <cell r="AC196" t="str">
            <v>No, no tenemos prevista publicación</v>
          </cell>
          <cell r="AD196" t="str">
            <v>False</v>
          </cell>
        </row>
        <row r="197">
          <cell r="A197" t="str">
            <v>0011-1365-2020-000196</v>
          </cell>
          <cell r="B197" t="str">
            <v>INVESTIGACIÓN DE MATERIALES Y TECNOLOGÍAS DE APLICACIÓN PARA EL RECUBRIMIENTO INTERIOR DE MOLDES DE FUNDICIÓN CENTRIFUGADA</v>
          </cell>
          <cell r="C197">
            <v>956195.3</v>
          </cell>
          <cell r="D197">
            <v>43922</v>
          </cell>
          <cell r="E197">
            <v>44651</v>
          </cell>
          <cell r="F197" t="str">
            <v>jlopez@schmidt-clemens.com</v>
          </cell>
          <cell r="G197" t="str">
            <v>Automoción y mecatrónica</v>
          </cell>
          <cell r="H197" t="str">
            <v>Automoción y mecatrónica</v>
          </cell>
          <cell r="I197" t="str">
            <v>Manufactura avanzada</v>
          </cell>
          <cell r="J197" t="str">
            <v>Manufactura avanzada</v>
          </cell>
          <cell r="K197" t="str">
            <v>Transformación 4.0 de la industria navarra</v>
          </cell>
          <cell r="L197" t="str">
            <v>Transformación 4.0 de la industria navarra</v>
          </cell>
          <cell r="M197" t="str">
            <v>Empresa</v>
          </cell>
          <cell r="N197" t="str">
            <v>Empresa</v>
          </cell>
          <cell r="O197" t="str">
            <v>Grande</v>
          </cell>
          <cell r="P197" t="str">
            <v>Grande</v>
          </cell>
          <cell r="Q197" t="str">
            <v>Individual</v>
          </cell>
          <cell r="R197" t="str">
            <v>Individual</v>
          </cell>
          <cell r="S197" t="str">
            <v>SI</v>
          </cell>
          <cell r="T197" t="str">
            <v>SI</v>
          </cell>
          <cell r="U197" t="str">
            <v>15-A-245-00007585</v>
          </cell>
          <cell r="V197" t="str">
            <v>SI</v>
          </cell>
          <cell r="W197" t="str">
            <v>SI</v>
          </cell>
          <cell r="X197">
            <v>43921</v>
          </cell>
          <cell r="Y197" t="str">
            <v>CDTI</v>
          </cell>
          <cell r="Z197" t="str">
            <v>No, no tenemos intención de patentar</v>
          </cell>
          <cell r="AA197" t="str">
            <v>No, no tenemos intención de patentar</v>
          </cell>
          <cell r="AB197" t="str">
            <v>No, no tenemos prevista publicación</v>
          </cell>
          <cell r="AC197" t="str">
            <v>No, no tenemos prevista publicación</v>
          </cell>
          <cell r="AD197" t="str">
            <v>False</v>
          </cell>
        </row>
        <row r="198">
          <cell r="A198" t="str">
            <v>0011-1365-2020-000197</v>
          </cell>
          <cell r="B198" t="str">
            <v>NUEVO SISTEMA DE TOLDO ANTICONGELAMIENTO INTELIGENTE (TAIL)</v>
          </cell>
          <cell r="C198">
            <v>204250</v>
          </cell>
          <cell r="D198">
            <v>43922</v>
          </cell>
          <cell r="E198">
            <v>44651</v>
          </cell>
          <cell r="F198" t="str">
            <v>patxifabo@jobaccommodation.es</v>
          </cell>
          <cell r="G198" t="str">
            <v>Automoción y mecatrónica</v>
          </cell>
          <cell r="H198" t="str">
            <v>Automoción y mecatrónica</v>
          </cell>
          <cell r="I198" t="str">
            <v>Tic</v>
          </cell>
          <cell r="J198" t="str">
            <v>Tic</v>
          </cell>
          <cell r="K198" t="str">
            <v>Transformación 4.0 de la industria navarra</v>
          </cell>
          <cell r="L198" t="str">
            <v>Transformación 4.0 de la industria navarra</v>
          </cell>
          <cell r="M198" t="str">
            <v>Empresa</v>
          </cell>
          <cell r="N198" t="str">
            <v>Empresa</v>
          </cell>
          <cell r="O198" t="str">
            <v>Pequeña</v>
          </cell>
          <cell r="P198" t="str">
            <v>Pequeña</v>
          </cell>
          <cell r="Q198" t="str">
            <v>Cooperativo</v>
          </cell>
          <cell r="R198" t="str">
            <v>Cooperativo</v>
          </cell>
          <cell r="S198" t="str">
            <v>NO</v>
          </cell>
          <cell r="T198" t="str">
            <v>NO</v>
          </cell>
          <cell r="U198" t="str">
            <v>No aplica</v>
          </cell>
          <cell r="V198" t="str">
            <v>NO</v>
          </cell>
          <cell r="W198" t="str">
            <v>NO</v>
          </cell>
          <cell r="Z198" t="str">
            <v>Sí, la patente prevista es nacional</v>
          </cell>
          <cell r="AA198" t="str">
            <v>Sí, la patente prevista es nacional</v>
          </cell>
          <cell r="AB198" t="str">
            <v>No, no tenemos prevista publicación</v>
          </cell>
          <cell r="AC198" t="str">
            <v>No, no tenemos prevista publicación</v>
          </cell>
          <cell r="AD198" t="str">
            <v>False</v>
          </cell>
        </row>
        <row r="199">
          <cell r="A199" t="str">
            <v>0011-1365-2020-000198</v>
          </cell>
          <cell r="B199" t="str">
            <v>Desarrollo de una herramienta para el diseño de plantas fotovoltaicas</v>
          </cell>
          <cell r="C199">
            <v>350512.01</v>
          </cell>
          <cell r="D199">
            <v>43922</v>
          </cell>
          <cell r="E199">
            <v>44651</v>
          </cell>
          <cell r="F199" t="str">
            <v>j.izcue@sungrow-emea.com</v>
          </cell>
          <cell r="G199" t="str">
            <v>Energías renovables y recursos</v>
          </cell>
          <cell r="H199" t="str">
            <v>Energías renovables y recursos</v>
          </cell>
          <cell r="I199" t="str">
            <v>Tic</v>
          </cell>
          <cell r="J199" t="str">
            <v>Tic</v>
          </cell>
          <cell r="K199" t="str">
            <v>Disminución del consumo de energías fósiles</v>
          </cell>
          <cell r="L199" t="str">
            <v>Disminución del consumo de energías fósiles</v>
          </cell>
          <cell r="M199" t="str">
            <v>Empresa</v>
          </cell>
          <cell r="N199" t="str">
            <v>Empresa</v>
          </cell>
          <cell r="O199" t="str">
            <v>Grande</v>
          </cell>
          <cell r="P199" t="str">
            <v>Grande</v>
          </cell>
          <cell r="Q199" t="str">
            <v>Individual</v>
          </cell>
          <cell r="R199" t="str">
            <v>Individual</v>
          </cell>
          <cell r="S199" t="str">
            <v>SI</v>
          </cell>
          <cell r="T199" t="str">
            <v>SI</v>
          </cell>
          <cell r="U199" t="str">
            <v>15-A-466-00061308</v>
          </cell>
          <cell r="V199" t="str">
            <v>SI</v>
          </cell>
          <cell r="W199" t="str">
            <v>SI</v>
          </cell>
          <cell r="X199">
            <v>43895</v>
          </cell>
          <cell r="Y199" t="str">
            <v>GOBIERNO DE NAVARRA</v>
          </cell>
          <cell r="Z199" t="str">
            <v>No, no tenemos intención de patentar</v>
          </cell>
          <cell r="AA199" t="str">
            <v>No, no tenemos intención de patentar</v>
          </cell>
          <cell r="AB199" t="str">
            <v>No, no tenemos prevista publicación</v>
          </cell>
          <cell r="AC199" t="str">
            <v>No, no tenemos prevista publicación</v>
          </cell>
          <cell r="AD199" t="str">
            <v>False</v>
          </cell>
        </row>
        <row r="200">
          <cell r="A200" t="str">
            <v>0011-1365-2020-000199</v>
          </cell>
          <cell r="B200" t="str">
            <v>ESTUDIO Y DESARROLLO DE TECNOLOGÍAS NO INVASIVAS PARA LA HIGIENIZACIÓN EN LA INDUSTRIA AGROALIMENTARIA</v>
          </cell>
          <cell r="C200">
            <v>88021.23</v>
          </cell>
          <cell r="D200">
            <v>44013</v>
          </cell>
          <cell r="E200">
            <v>44561</v>
          </cell>
          <cell r="F200" t="str">
            <v>Carretera NA 134, KM 53</v>
          </cell>
          <cell r="G200" t="str">
            <v>Cadena alimentaria</v>
          </cell>
          <cell r="H200" t="str">
            <v>Cadena alimentaria</v>
          </cell>
          <cell r="I200" t="str">
            <v>Otros</v>
          </cell>
          <cell r="J200" t="str">
            <v>Otros</v>
          </cell>
          <cell r="K200" t="str">
            <v>Apuesta por la alimentación saludable</v>
          </cell>
          <cell r="L200" t="str">
            <v>Apuesta por la alimentación saludable</v>
          </cell>
          <cell r="M200" t="str">
            <v>Organismo de investigación</v>
          </cell>
          <cell r="N200" t="str">
            <v>Organismo de investigación</v>
          </cell>
          <cell r="O200" t="str">
            <v>Organismo de investigación</v>
          </cell>
          <cell r="P200" t="str">
            <v>Organismo de investigación</v>
          </cell>
          <cell r="Q200" t="str">
            <v>Transferencia del conocimiento</v>
          </cell>
          <cell r="R200" t="str">
            <v>Transferencia del conocimiento</v>
          </cell>
          <cell r="S200" t="str">
            <v>NO</v>
          </cell>
          <cell r="T200" t="str">
            <v>NO</v>
          </cell>
          <cell r="U200" t="str">
            <v>NO APLICA</v>
          </cell>
          <cell r="V200" t="str">
            <v>NO</v>
          </cell>
          <cell r="W200" t="str">
            <v>NO</v>
          </cell>
          <cell r="Z200" t="str">
            <v>No, no tenemos intención de patentar</v>
          </cell>
          <cell r="AA200" t="str">
            <v>No, no tenemos intención de patentar</v>
          </cell>
          <cell r="AB200" t="str">
            <v>Sí, la publicación prevista es en revista científica</v>
          </cell>
          <cell r="AC200" t="str">
            <v>Sí, la publicación prevista es en revista científica</v>
          </cell>
          <cell r="AD200" t="str">
            <v>False</v>
          </cell>
        </row>
        <row r="201">
          <cell r="A201" t="str">
            <v>0011-1365-2020-000200</v>
          </cell>
          <cell r="B201" t="str">
            <v>Desarrollo de nuevos textiles tecnicos ecologicos con propiedad fotocataliticas, para eliminar gases nocivos y de auto-limpieza (CLEANAIRTEX)</v>
          </cell>
          <cell r="C201">
            <v>93042</v>
          </cell>
          <cell r="D201">
            <v>43922</v>
          </cell>
          <cell r="E201">
            <v>44651</v>
          </cell>
          <cell r="F201" t="str">
            <v>lotecna@gmail.com</v>
          </cell>
          <cell r="G201" t="str">
            <v>Energías renovables y recursos</v>
          </cell>
          <cell r="H201" t="str">
            <v>Energías renovables y recursos</v>
          </cell>
          <cell r="I201" t="str">
            <v>Manufactura avanzada</v>
          </cell>
          <cell r="J201" t="str">
            <v>Manufactura avanzada</v>
          </cell>
          <cell r="K201" t="str">
            <v>Promover la economía circular</v>
          </cell>
          <cell r="L201" t="str">
            <v>Promover la economía circular</v>
          </cell>
          <cell r="M201" t="str">
            <v>Empresa</v>
          </cell>
          <cell r="N201" t="str">
            <v>Empresa</v>
          </cell>
          <cell r="O201" t="str">
            <v>Pequeña</v>
          </cell>
          <cell r="P201" t="str">
            <v>Pequeña</v>
          </cell>
          <cell r="Q201" t="str">
            <v>Transferencia del conocimiento</v>
          </cell>
          <cell r="R201" t="str">
            <v>Transferencia del conocimiento</v>
          </cell>
          <cell r="S201" t="str">
            <v>SI</v>
          </cell>
          <cell r="T201" t="str">
            <v>SI</v>
          </cell>
          <cell r="U201" t="str">
            <v>en tramite</v>
          </cell>
          <cell r="V201" t="str">
            <v>SI</v>
          </cell>
          <cell r="W201" t="str">
            <v>SI</v>
          </cell>
          <cell r="X201">
            <v>43762</v>
          </cell>
          <cell r="Y201" t="str">
            <v>Ministerio de ciencia e innovacion</v>
          </cell>
          <cell r="Z201" t="str">
            <v>No, no tenemos intención de patentar</v>
          </cell>
          <cell r="AA201" t="str">
            <v>No, no tenemos intención de patentar</v>
          </cell>
          <cell r="AB201" t="str">
            <v>No, no tenemos prevista publicación</v>
          </cell>
          <cell r="AC201" t="str">
            <v>No, no tenemos prevista publicación</v>
          </cell>
          <cell r="AD201" t="str">
            <v>False</v>
          </cell>
        </row>
        <row r="202">
          <cell r="A202" t="str">
            <v>0011-1365-2020-000201</v>
          </cell>
          <cell r="B202" t="str">
            <v>De un modelo BIM a un modelo BEM (BandB)</v>
          </cell>
          <cell r="C202">
            <v>297830</v>
          </cell>
          <cell r="D202">
            <v>43922</v>
          </cell>
          <cell r="E202">
            <v>44651</v>
          </cell>
          <cell r="F202" t="str">
            <v>CONTABILIDAD@SALTOKI.ES</v>
          </cell>
          <cell r="G202" t="str">
            <v>Energías renovables y recursos</v>
          </cell>
          <cell r="H202" t="str">
            <v>Energías renovables y recursos</v>
          </cell>
          <cell r="I202" t="str">
            <v>Tic</v>
          </cell>
          <cell r="J202" t="str">
            <v>Tic</v>
          </cell>
          <cell r="K202" t="str">
            <v>Disminución del consumo de energías fósiles</v>
          </cell>
          <cell r="L202" t="str">
            <v>Disminución del consumo de energías fósiles</v>
          </cell>
          <cell r="M202" t="str">
            <v>Empresa</v>
          </cell>
          <cell r="N202" t="str">
            <v>Empresa</v>
          </cell>
          <cell r="O202" t="str">
            <v>Grande</v>
          </cell>
          <cell r="P202" t="str">
            <v>Grande</v>
          </cell>
          <cell r="Q202" t="str">
            <v>Transferencia del conocimiento</v>
          </cell>
          <cell r="R202" t="str">
            <v>Transferencia del conocimiento</v>
          </cell>
          <cell r="S202" t="str">
            <v>NO</v>
          </cell>
          <cell r="T202" t="str">
            <v>NO</v>
          </cell>
          <cell r="U202" t="str">
            <v>No aplica</v>
          </cell>
          <cell r="V202" t="str">
            <v>NO</v>
          </cell>
          <cell r="W202" t="str">
            <v>NO</v>
          </cell>
          <cell r="Z202" t="str">
            <v>No, no tenemos intención de patentar</v>
          </cell>
          <cell r="AA202" t="str">
            <v>No, no tenemos intención de patentar</v>
          </cell>
          <cell r="AB202" t="str">
            <v>No, no tenemos prevista publicación</v>
          </cell>
          <cell r="AC202" t="str">
            <v>No, no tenemos prevista publicación</v>
          </cell>
          <cell r="AD202" t="str">
            <v>False</v>
          </cell>
        </row>
        <row r="203">
          <cell r="A203" t="str">
            <v>0011-1365-2020-000202</v>
          </cell>
          <cell r="B203" t="str">
            <v>DIVA</v>
          </cell>
          <cell r="C203">
            <v>226172</v>
          </cell>
          <cell r="D203">
            <v>43922</v>
          </cell>
          <cell r="E203">
            <v>44651</v>
          </cell>
          <cell r="F203" t="str">
            <v>c.matilla@fuvex.com</v>
          </cell>
          <cell r="G203" t="str">
            <v>Automoción y mecatrónica</v>
          </cell>
          <cell r="H203" t="str">
            <v>Automoción y mecatrónica</v>
          </cell>
          <cell r="I203" t="str">
            <v>Manufactura avanzada</v>
          </cell>
          <cell r="J203" t="str">
            <v>Manufactura avanzada</v>
          </cell>
          <cell r="K203" t="str">
            <v>Transformación 4.0 de la industria navarra</v>
          </cell>
          <cell r="L203" t="str">
            <v>Transformación 4.0 de la industria navarra</v>
          </cell>
          <cell r="M203" t="str">
            <v>Empresa</v>
          </cell>
          <cell r="N203" t="str">
            <v>Empresa</v>
          </cell>
          <cell r="O203" t="str">
            <v>Pequeña</v>
          </cell>
          <cell r="P203" t="str">
            <v>Pequeña</v>
          </cell>
          <cell r="Q203" t="str">
            <v>Transferencia del conocimiento</v>
          </cell>
          <cell r="R203" t="str">
            <v>Transferencia del conocimiento</v>
          </cell>
          <cell r="S203" t="str">
            <v>SI</v>
          </cell>
          <cell r="T203" t="str">
            <v>SI</v>
          </cell>
          <cell r="V203" t="str">
            <v>NO</v>
          </cell>
          <cell r="W203" t="str">
            <v>NO</v>
          </cell>
          <cell r="Z203" t="str">
            <v>No, no tenemos intención de patentar</v>
          </cell>
          <cell r="AA203" t="str">
            <v>No, no tenemos intención de patentar</v>
          </cell>
          <cell r="AB203" t="str">
            <v>No, no tenemos prevista publicación</v>
          </cell>
          <cell r="AC203" t="str">
            <v>No, no tenemos prevista publicación</v>
          </cell>
          <cell r="AD203" t="str">
            <v>False</v>
          </cell>
        </row>
        <row r="204">
          <cell r="A204" t="str">
            <v>0011-1365-2020-000203</v>
          </cell>
          <cell r="B204" t="str">
            <v>CALIDAD EN BEBIDAS DE CELEBRACION OPTIMIZADAS- CABECEO</v>
          </cell>
          <cell r="C204">
            <v>218900</v>
          </cell>
          <cell r="D204">
            <v>43922</v>
          </cell>
          <cell r="E204">
            <v>44561</v>
          </cell>
          <cell r="F204" t="str">
            <v>finance@juiceandworld.com</v>
          </cell>
          <cell r="G204" t="str">
            <v>Cadena alimentaria</v>
          </cell>
          <cell r="H204" t="str">
            <v>Cadena alimentaria</v>
          </cell>
          <cell r="I204" t="str">
            <v>Otros</v>
          </cell>
          <cell r="J204" t="str">
            <v>Otros</v>
          </cell>
          <cell r="K204" t="str">
            <v>Vertebrar la cadena de valor alimentaria</v>
          </cell>
          <cell r="L204" t="str">
            <v>Vertebrar la cadena de valor alimentaria</v>
          </cell>
          <cell r="M204" t="str">
            <v>Empresa</v>
          </cell>
          <cell r="N204" t="str">
            <v>Empresa</v>
          </cell>
          <cell r="O204" t="str">
            <v>Pequeña</v>
          </cell>
          <cell r="P204" t="str">
            <v>Pequeña</v>
          </cell>
          <cell r="Q204" t="str">
            <v>Individual</v>
          </cell>
          <cell r="R204" t="str">
            <v>Individual</v>
          </cell>
          <cell r="S204" t="str">
            <v>SI</v>
          </cell>
          <cell r="T204" t="str">
            <v>SI</v>
          </cell>
          <cell r="U204" t="str">
            <v>15-A-103-00041992   ACTIVIDAD 1032</v>
          </cell>
          <cell r="V204" t="str">
            <v>NO</v>
          </cell>
          <cell r="W204" t="str">
            <v>NO</v>
          </cell>
          <cell r="Z204" t="str">
            <v>No, no tenemos intención de patentar</v>
          </cell>
          <cell r="AA204" t="str">
            <v>No, no tenemos intención de patentar</v>
          </cell>
          <cell r="AB204" t="str">
            <v>No, no tenemos prevista publicación</v>
          </cell>
          <cell r="AC204" t="str">
            <v>No, no tenemos prevista publicación</v>
          </cell>
          <cell r="AD204" t="str">
            <v>False</v>
          </cell>
        </row>
        <row r="205">
          <cell r="A205" t="str">
            <v>0011-1365-2020-000204</v>
          </cell>
          <cell r="B205" t="str">
            <v>VIMAN: Virtualidad, Interactividad y Mapping 3D para generar experiencias impactantes al turista en Navarra</v>
          </cell>
          <cell r="C205">
            <v>221536</v>
          </cell>
          <cell r="D205">
            <v>43922</v>
          </cell>
          <cell r="E205">
            <v>44651</v>
          </cell>
          <cell r="F205" t="str">
            <v>vicerrectorado.investigacion@unavarra.es</v>
          </cell>
          <cell r="G205" t="str">
            <v>Turismo integral</v>
          </cell>
          <cell r="H205" t="str">
            <v>Turismo integral</v>
          </cell>
          <cell r="I205" t="str">
            <v>Tic</v>
          </cell>
          <cell r="J205" t="str">
            <v>Tic</v>
          </cell>
          <cell r="K205" t="str">
            <v>Nuevos nichos de oferta turística integral</v>
          </cell>
          <cell r="L205" t="str">
            <v>Nuevos nichos de oferta turística integral</v>
          </cell>
          <cell r="M205" t="str">
            <v>Organismo de investigación</v>
          </cell>
          <cell r="N205" t="str">
            <v>Organismo de investigación</v>
          </cell>
          <cell r="O205" t="str">
            <v>Organismo de investigación</v>
          </cell>
          <cell r="P205" t="str">
            <v>Organismo de investigación</v>
          </cell>
          <cell r="Q205" t="str">
            <v>Transferencia del conocimiento</v>
          </cell>
          <cell r="R205" t="str">
            <v>Transferencia del conocimiento</v>
          </cell>
          <cell r="S205" t="str">
            <v>NO</v>
          </cell>
          <cell r="T205" t="str">
            <v>NO</v>
          </cell>
          <cell r="U205" t="str">
            <v>Universidad Publica</v>
          </cell>
          <cell r="V205" t="str">
            <v>NO</v>
          </cell>
          <cell r="W205" t="str">
            <v>NO</v>
          </cell>
          <cell r="Z205" t="str">
            <v>No, no tenemos intención de patentar</v>
          </cell>
          <cell r="AA205" t="str">
            <v>No, no tenemos intención de patentar</v>
          </cell>
          <cell r="AB205" t="str">
            <v>Sí, la publicación prevista es en revista científica q1</v>
          </cell>
          <cell r="AC205" t="str">
            <v>Sí, la publicación prevista es en revista científica q1</v>
          </cell>
          <cell r="AD205" t="str">
            <v>False</v>
          </cell>
        </row>
        <row r="206">
          <cell r="A206" t="str">
            <v>0011-1365-2020-000205</v>
          </cell>
          <cell r="B206" t="str">
            <v>MEZCLAS DE FKM MÁS SOSTENIBLES</v>
          </cell>
          <cell r="C206">
            <v>245200</v>
          </cell>
          <cell r="D206">
            <v>43922</v>
          </cell>
          <cell r="E206">
            <v>44651</v>
          </cell>
          <cell r="F206" t="str">
            <v>j.angulo@hidrorubber.com</v>
          </cell>
          <cell r="G206" t="str">
            <v>Automoción y mecatrónica</v>
          </cell>
          <cell r="H206" t="str">
            <v>Automoción y mecatrónica</v>
          </cell>
          <cell r="I206" t="str">
            <v>Manufactura avanzada</v>
          </cell>
          <cell r="J206" t="str">
            <v>Manufactura avanzada</v>
          </cell>
          <cell r="K206" t="str">
            <v>Transformación 4.0 de la industria navarra</v>
          </cell>
          <cell r="L206" t="str">
            <v>Transformación 4.0 de la industria navarra</v>
          </cell>
          <cell r="M206" t="str">
            <v>Empresa</v>
          </cell>
          <cell r="N206" t="str">
            <v>Empresa</v>
          </cell>
          <cell r="O206" t="str">
            <v>Mediana</v>
          </cell>
          <cell r="P206" t="str">
            <v>Mediana</v>
          </cell>
          <cell r="Q206" t="str">
            <v>Individual</v>
          </cell>
          <cell r="R206" t="str">
            <v>Individual</v>
          </cell>
          <cell r="S206" t="str">
            <v>SI</v>
          </cell>
          <cell r="T206" t="str">
            <v>SI</v>
          </cell>
          <cell r="U206" t="str">
            <v>15-A-221-00011574</v>
          </cell>
          <cell r="V206" t="str">
            <v>NO</v>
          </cell>
          <cell r="W206" t="str">
            <v>NO</v>
          </cell>
          <cell r="Z206" t="str">
            <v>No, no tenemos intención de patentar</v>
          </cell>
          <cell r="AA206" t="str">
            <v>No, no tenemos intención de patentar</v>
          </cell>
          <cell r="AB206" t="str">
            <v>No, no tenemos prevista publicación</v>
          </cell>
          <cell r="AC206" t="str">
            <v>No, no tenemos prevista publicación</v>
          </cell>
          <cell r="AD206" t="str">
            <v>False</v>
          </cell>
        </row>
        <row r="207">
          <cell r="A207" t="str">
            <v>0011-1365-2020-000206</v>
          </cell>
          <cell r="B207" t="str">
            <v>DESARROLLO DE TUBOS NORMALIZADOS DE ALTO VALOR AÑADIDO MEDIANTE INNOVADORES MÉTODOS DE COMPATIBILIDAD Y ESTIRABILIDAD (TUB-COMPACT)</v>
          </cell>
          <cell r="C207">
            <v>127115</v>
          </cell>
          <cell r="D207">
            <v>43922</v>
          </cell>
          <cell r="E207">
            <v>44651</v>
          </cell>
          <cell r="F207" t="str">
            <v>aursua@ain.es</v>
          </cell>
          <cell r="G207" t="str">
            <v>Automoción y mecatrónica</v>
          </cell>
          <cell r="H207" t="str">
            <v>Automoción y mecatrónica</v>
          </cell>
          <cell r="I207" t="str">
            <v>Manufactura avanzada</v>
          </cell>
          <cell r="J207" t="str">
            <v>Manufactura avanzada</v>
          </cell>
          <cell r="K207" t="str">
            <v>Transformación 4.0 de la industria navarra</v>
          </cell>
          <cell r="L207" t="str">
            <v>Transformación 4.0 de la industria navarra</v>
          </cell>
          <cell r="M207" t="str">
            <v>Organismo de investigación</v>
          </cell>
          <cell r="N207" t="str">
            <v>Organismo de investigación</v>
          </cell>
          <cell r="O207" t="str">
            <v>Organismo de investigación</v>
          </cell>
          <cell r="P207" t="str">
            <v>Organismo de investigación</v>
          </cell>
          <cell r="Q207" t="str">
            <v>Transferencia del conocimiento</v>
          </cell>
          <cell r="R207" t="str">
            <v>Transferencia del conocimiento</v>
          </cell>
          <cell r="S207" t="str">
            <v>SI</v>
          </cell>
          <cell r="T207" t="str">
            <v>SI</v>
          </cell>
          <cell r="V207" t="str">
            <v>NO</v>
          </cell>
          <cell r="W207" t="str">
            <v>NO</v>
          </cell>
          <cell r="Z207" t="str">
            <v>No, no tenemos intención de patentar</v>
          </cell>
          <cell r="AA207" t="str">
            <v>No, no tenemos intención de patentar</v>
          </cell>
          <cell r="AB207" t="str">
            <v>Sí, la publicación prevista es en revista científica q1</v>
          </cell>
          <cell r="AC207" t="str">
            <v>Sí, la publicación prevista es en revista científica q1</v>
          </cell>
          <cell r="AD207" t="str">
            <v>False</v>
          </cell>
        </row>
        <row r="208">
          <cell r="A208" t="str">
            <v>0011-1365-2020-000207</v>
          </cell>
          <cell r="B208" t="str">
            <v>DESARROLLO DE NUEVOS TEXTILES TÉCNICOS ECOLÓGICOS CON PROPIEDADES FOTOCATALÍTICAS, PARA ELIMINAR GASES NOCIVOS, Y DE AUTO-LIMPIEZA (CLEANAIRTEX)</v>
          </cell>
          <cell r="C208">
            <v>96473</v>
          </cell>
          <cell r="D208">
            <v>43922</v>
          </cell>
          <cell r="E208">
            <v>44651</v>
          </cell>
          <cell r="F208" t="str">
            <v>mgarcia@reciclauto.es</v>
          </cell>
          <cell r="G208" t="str">
            <v>Energías renovables y recursos</v>
          </cell>
          <cell r="H208" t="str">
            <v>Energías renovables y recursos</v>
          </cell>
          <cell r="I208" t="str">
            <v>Manufactura avanzada</v>
          </cell>
          <cell r="J208" t="str">
            <v>Manufactura avanzada</v>
          </cell>
          <cell r="K208" t="str">
            <v>Promover la economía circular</v>
          </cell>
          <cell r="L208" t="str">
            <v>Promover la economía circular</v>
          </cell>
          <cell r="M208" t="str">
            <v>Empresa</v>
          </cell>
          <cell r="N208" t="str">
            <v>Empresa</v>
          </cell>
          <cell r="O208" t="str">
            <v>Pequeña</v>
          </cell>
          <cell r="P208" t="str">
            <v>Pequeña</v>
          </cell>
          <cell r="Q208" t="str">
            <v>Transferencia del conocimiento</v>
          </cell>
          <cell r="R208" t="str">
            <v>Transferencia del conocimiento</v>
          </cell>
          <cell r="S208" t="str">
            <v>NO</v>
          </cell>
          <cell r="T208" t="str">
            <v>NO</v>
          </cell>
          <cell r="U208" t="str">
            <v>NO ESTÁ OBLIGADO</v>
          </cell>
          <cell r="V208" t="str">
            <v>SI</v>
          </cell>
          <cell r="W208" t="str">
            <v>SI</v>
          </cell>
          <cell r="X208">
            <v>43762</v>
          </cell>
          <cell r="Y208" t="str">
            <v>MINISTERIO DE CIENCIA E INNOVACIÓN</v>
          </cell>
          <cell r="Z208" t="str">
            <v>No, no tenemos intención de patentar</v>
          </cell>
          <cell r="AA208" t="str">
            <v>No, no tenemos intención de patentar</v>
          </cell>
          <cell r="AB208" t="str">
            <v>No, no tenemos prevista publicación</v>
          </cell>
          <cell r="AC208" t="str">
            <v>No, no tenemos prevista publicación</v>
          </cell>
          <cell r="AD208" t="str">
            <v>True</v>
          </cell>
        </row>
        <row r="209">
          <cell r="A209" t="str">
            <v>0011-1365-2020-000208</v>
          </cell>
          <cell r="B209" t="str">
            <v>ESTUDIO Y DESARROLLO DE TECNOLOGÍAS NO INVASIVAS PARA LA HIGIENIZACIÓN EN LA INDUSTRIA AGROALIMENTARIA - CONTACTLESS</v>
          </cell>
          <cell r="C209">
            <v>40077.5</v>
          </cell>
          <cell r="D209">
            <v>44013</v>
          </cell>
          <cell r="E209">
            <v>44561</v>
          </cell>
          <cell r="F209" t="str">
            <v>marta.inda@bodegainurrieta.com</v>
          </cell>
          <cell r="G209" t="str">
            <v>Cadena alimentaria</v>
          </cell>
          <cell r="H209" t="str">
            <v>Cadena alimentaria</v>
          </cell>
          <cell r="I209" t="str">
            <v>Biotecnología</v>
          </cell>
          <cell r="J209" t="str">
            <v>Biotecnología</v>
          </cell>
          <cell r="K209" t="str">
            <v>Vertebrar la cadena de valor alimentaria</v>
          </cell>
          <cell r="L209" t="str">
            <v>Vertebrar la cadena de valor alimentaria</v>
          </cell>
          <cell r="M209" t="str">
            <v>Empresa</v>
          </cell>
          <cell r="N209" t="str">
            <v>Empresa</v>
          </cell>
          <cell r="O209" t="str">
            <v>Pequeña</v>
          </cell>
          <cell r="P209" t="str">
            <v>Pequeña</v>
          </cell>
          <cell r="Q209" t="str">
            <v>Transferencia del conocimiento</v>
          </cell>
          <cell r="R209" t="str">
            <v>Transferencia del conocimiento</v>
          </cell>
          <cell r="S209" t="str">
            <v>SI</v>
          </cell>
          <cell r="T209" t="str">
            <v>SI</v>
          </cell>
          <cell r="V209" t="str">
            <v>NO</v>
          </cell>
          <cell r="W209" t="str">
            <v>NO</v>
          </cell>
          <cell r="Z209" t="str">
            <v>No, no tenemos intención de patentar</v>
          </cell>
          <cell r="AA209" t="str">
            <v>No, no tenemos intención de patentar</v>
          </cell>
          <cell r="AB209" t="str">
            <v>No, no tenemos prevista publicación</v>
          </cell>
          <cell r="AC209" t="str">
            <v>No, no tenemos prevista publicación</v>
          </cell>
          <cell r="AD209" t="str">
            <v>False</v>
          </cell>
        </row>
        <row r="210">
          <cell r="A210" t="str">
            <v>0011-1365-2020-000209</v>
          </cell>
          <cell r="B210" t="str">
            <v>Nuevas herramientas para la gestión forestal basadas en el uso de tecnologías aéreas y satelitales de observación de la tierra (forestOBS)</v>
          </cell>
          <cell r="C210">
            <v>86072</v>
          </cell>
          <cell r="D210">
            <v>43922</v>
          </cell>
          <cell r="E210">
            <v>44651</v>
          </cell>
          <cell r="F210" t="str">
            <v>foresna@foresna.org</v>
          </cell>
          <cell r="G210" t="str">
            <v>Energías renovables y recursos</v>
          </cell>
          <cell r="H210" t="str">
            <v>Energías renovables y recursos</v>
          </cell>
          <cell r="I210" t="str">
            <v>Tic</v>
          </cell>
          <cell r="J210" t="str">
            <v>Tic</v>
          </cell>
          <cell r="K210" t="str">
            <v>Promover la economía circular</v>
          </cell>
          <cell r="L210" t="str">
            <v>Promover la economía circular</v>
          </cell>
          <cell r="M210" t="str">
            <v>Empresa</v>
          </cell>
          <cell r="N210" t="str">
            <v>Empresa</v>
          </cell>
          <cell r="O210" t="str">
            <v>Pequeña</v>
          </cell>
          <cell r="P210" t="str">
            <v>Pequeña</v>
          </cell>
          <cell r="Q210" t="str">
            <v>Transferencia del conocimiento</v>
          </cell>
          <cell r="R210" t="str">
            <v>Transferencia del conocimiento</v>
          </cell>
          <cell r="S210" t="str">
            <v>NO</v>
          </cell>
          <cell r="T210" t="str">
            <v>NO</v>
          </cell>
          <cell r="V210" t="str">
            <v>NO</v>
          </cell>
          <cell r="W210" t="str">
            <v>NO</v>
          </cell>
          <cell r="Z210" t="str">
            <v>No, no tenemos intención de patentar</v>
          </cell>
          <cell r="AA210" t="str">
            <v>No, no tenemos intención de patentar</v>
          </cell>
          <cell r="AB210" t="str">
            <v>Sí, la publicación prevista es en revista científica q1</v>
          </cell>
          <cell r="AC210" t="str">
            <v>Sí, la publicación prevista es en revista científica q1</v>
          </cell>
          <cell r="AD210" t="str">
            <v>False</v>
          </cell>
        </row>
        <row r="211">
          <cell r="A211" t="str">
            <v>0011-1365-2020-000210</v>
          </cell>
          <cell r="B211" t="str">
            <v>ESTUDIO Y DESARROLLO DE TECNOLOGÍAS NO INVASIVAS PARA LA HIGIENIZACIÓN EN LA INDUSTRIA AGROALIMENTARIA - CONTACTLESS</v>
          </cell>
          <cell r="C211">
            <v>76528</v>
          </cell>
          <cell r="D211">
            <v>44013</v>
          </cell>
          <cell r="E211">
            <v>44561</v>
          </cell>
          <cell r="F211" t="str">
            <v>angel.inigo@virto.es</v>
          </cell>
          <cell r="G211" t="str">
            <v>Cadena alimentaria</v>
          </cell>
          <cell r="H211" t="str">
            <v>Cadena alimentaria</v>
          </cell>
          <cell r="I211" t="str">
            <v>Biotecnología</v>
          </cell>
          <cell r="J211" t="str">
            <v>Biotecnología</v>
          </cell>
          <cell r="K211" t="str">
            <v>Vertebrar la cadena de valor alimentaria</v>
          </cell>
          <cell r="L211" t="str">
            <v>Vertebrar la cadena de valor alimentaria</v>
          </cell>
          <cell r="M211" t="str">
            <v>Empresa</v>
          </cell>
          <cell r="N211" t="str">
            <v>Empresa</v>
          </cell>
          <cell r="O211" t="str">
            <v>Grande</v>
          </cell>
          <cell r="P211" t="str">
            <v>Grande</v>
          </cell>
          <cell r="Q211" t="str">
            <v>Transferencia del conocimiento</v>
          </cell>
          <cell r="R211" t="str">
            <v>Transferencia del conocimiento</v>
          </cell>
          <cell r="S211" t="str">
            <v>SI</v>
          </cell>
          <cell r="T211" t="str">
            <v>SI</v>
          </cell>
          <cell r="V211" t="str">
            <v>NO</v>
          </cell>
          <cell r="W211" t="str">
            <v>NO</v>
          </cell>
          <cell r="Z211" t="str">
            <v>No, no tenemos intención de patentar</v>
          </cell>
          <cell r="AA211" t="str">
            <v>No, no tenemos intención de patentar</v>
          </cell>
          <cell r="AB211" t="str">
            <v>No, no tenemos prevista publicación</v>
          </cell>
          <cell r="AC211" t="str">
            <v>No, no tenemos prevista publicación</v>
          </cell>
          <cell r="AD211" t="str">
            <v>False</v>
          </cell>
        </row>
        <row r="212">
          <cell r="A212" t="str">
            <v>0011-1365-2020-000211</v>
          </cell>
          <cell r="B212" t="str">
            <v>Zero Defects Manufacturing in Smart Factories (ZDM-SF)</v>
          </cell>
          <cell r="C212">
            <v>160870</v>
          </cell>
          <cell r="D212">
            <v>43922</v>
          </cell>
          <cell r="E212">
            <v>44651</v>
          </cell>
          <cell r="F212" t="str">
            <v>aursua@ain.es</v>
          </cell>
          <cell r="G212" t="str">
            <v>Automoción y mecatrónica</v>
          </cell>
          <cell r="H212" t="str">
            <v>Automoción y mecatrónica</v>
          </cell>
          <cell r="I212" t="str">
            <v>Manufactura avanzada</v>
          </cell>
          <cell r="J212" t="str">
            <v>Manufactura avanzada</v>
          </cell>
          <cell r="K212" t="str">
            <v>Transformación 4.0 de la industria navarra</v>
          </cell>
          <cell r="L212" t="str">
            <v>Transformación 4.0 de la industria navarra</v>
          </cell>
          <cell r="M212" t="str">
            <v>Organismo de investigación</v>
          </cell>
          <cell r="N212" t="str">
            <v>Organismo de investigación</v>
          </cell>
          <cell r="O212" t="str">
            <v>Organismo de investigación</v>
          </cell>
          <cell r="P212" t="str">
            <v>Organismo de investigación</v>
          </cell>
          <cell r="Q212" t="str">
            <v>Transferencia del conocimiento</v>
          </cell>
          <cell r="R212" t="str">
            <v>Transferencia del conocimiento</v>
          </cell>
          <cell r="S212" t="str">
            <v>SI</v>
          </cell>
          <cell r="T212" t="str">
            <v>SI</v>
          </cell>
          <cell r="V212" t="str">
            <v>NO</v>
          </cell>
          <cell r="W212" t="str">
            <v>NO</v>
          </cell>
          <cell r="Z212" t="str">
            <v>No, no tenemos intención de patentar</v>
          </cell>
          <cell r="AA212" t="str">
            <v>No, no tenemos intención de patentar</v>
          </cell>
          <cell r="AB212" t="str">
            <v>Sí, la publicación prevista es en revista científica</v>
          </cell>
          <cell r="AC212" t="str">
            <v>Sí, la publicación prevista es en revista científica</v>
          </cell>
          <cell r="AD212" t="str">
            <v>False</v>
          </cell>
        </row>
        <row r="213">
          <cell r="A213" t="str">
            <v>0011-1365-2020-000212</v>
          </cell>
          <cell r="B213" t="str">
            <v>“Desarrollo de nuevos textiles técnicos ecológicos con propiedades fotocataliticas, para eliminar gases nocivos, y de auto-limpieza” (CLEANAIRTEX)</v>
          </cell>
          <cell r="C213">
            <v>111930</v>
          </cell>
          <cell r="D213">
            <v>43922</v>
          </cell>
          <cell r="E213">
            <v>44651</v>
          </cell>
          <cell r="F213" t="str">
            <v>dvelas@dvelas.com</v>
          </cell>
          <cell r="G213" t="str">
            <v>Energías renovables y recursos</v>
          </cell>
          <cell r="H213" t="str">
            <v>Energías renovables y recursos</v>
          </cell>
          <cell r="I213" t="str">
            <v>Manufactura avanzada</v>
          </cell>
          <cell r="J213" t="str">
            <v>Manufactura avanzada</v>
          </cell>
          <cell r="K213" t="str">
            <v>Promover la economía circular</v>
          </cell>
          <cell r="L213" t="str">
            <v>Promover la economía circular</v>
          </cell>
          <cell r="M213" t="str">
            <v>Empresa</v>
          </cell>
          <cell r="N213" t="str">
            <v>Empresa</v>
          </cell>
          <cell r="O213" t="str">
            <v>Pequeña</v>
          </cell>
          <cell r="P213" t="str">
            <v>Pequeña</v>
          </cell>
          <cell r="Q213" t="str">
            <v>Transferencia del conocimiento</v>
          </cell>
          <cell r="R213" t="str">
            <v>Transferencia del conocimiento</v>
          </cell>
          <cell r="S213" t="str">
            <v>NO</v>
          </cell>
          <cell r="T213" t="str">
            <v>NO</v>
          </cell>
          <cell r="V213" t="str">
            <v>SI</v>
          </cell>
          <cell r="W213" t="str">
            <v>SI</v>
          </cell>
          <cell r="X213">
            <v>43762</v>
          </cell>
          <cell r="Y213" t="str">
            <v>Ministerio de Ciencia e Innovación</v>
          </cell>
          <cell r="Z213" t="str">
            <v>No, no tenemos intención de patentar</v>
          </cell>
          <cell r="AA213" t="str">
            <v>No, no tenemos intención de patentar</v>
          </cell>
          <cell r="AB213" t="str">
            <v>No, no tenemos prevista publicación</v>
          </cell>
          <cell r="AC213" t="str">
            <v>No, no tenemos prevista publicación</v>
          </cell>
          <cell r="AD213" t="str">
            <v>False</v>
          </cell>
        </row>
        <row r="214">
          <cell r="A214" t="str">
            <v>0011-1365-2020-000213</v>
          </cell>
          <cell r="B214" t="str">
            <v>NUEVO EQUIPO PARA LOGÍSTICA COLABORATIVA - COLLOG</v>
          </cell>
          <cell r="C214">
            <v>199962</v>
          </cell>
          <cell r="D214">
            <v>43922</v>
          </cell>
          <cell r="E214">
            <v>44651</v>
          </cell>
          <cell r="F214" t="str">
            <v>enriqueredin@reybesa.com</v>
          </cell>
          <cell r="G214" t="str">
            <v>Automoción y mecatrónica</v>
          </cell>
          <cell r="H214" t="str">
            <v>Automoción y mecatrónica</v>
          </cell>
          <cell r="I214" t="str">
            <v>Manufactura avanzada</v>
          </cell>
          <cell r="J214" t="str">
            <v>Manufactura avanzada</v>
          </cell>
          <cell r="K214" t="str">
            <v>Transformación 4.0 de la industria navarra</v>
          </cell>
          <cell r="L214" t="str">
            <v>Transformación 4.0 de la industria navarra</v>
          </cell>
          <cell r="M214" t="str">
            <v>Empresa</v>
          </cell>
          <cell r="N214" t="str">
            <v>Empresa</v>
          </cell>
          <cell r="O214" t="str">
            <v>Mediana</v>
          </cell>
          <cell r="P214" t="str">
            <v>Mediana</v>
          </cell>
          <cell r="Q214" t="str">
            <v>Cooperativo</v>
          </cell>
          <cell r="R214" t="str">
            <v>Cooperativo</v>
          </cell>
          <cell r="S214" t="str">
            <v>SI</v>
          </cell>
          <cell r="T214" t="str">
            <v>SI</v>
          </cell>
          <cell r="U214" t="str">
            <v>15-A-452-00010247</v>
          </cell>
          <cell r="V214" t="str">
            <v>NO</v>
          </cell>
          <cell r="W214" t="str">
            <v>NO</v>
          </cell>
          <cell r="Z214" t="str">
            <v>No, no tenemos intención de patentar</v>
          </cell>
          <cell r="AA214" t="str">
            <v>No, no tenemos intención de patentar</v>
          </cell>
          <cell r="AB214" t="str">
            <v>No, no tenemos prevista publicación</v>
          </cell>
          <cell r="AC214" t="str">
            <v>No, no tenemos prevista publicación</v>
          </cell>
          <cell r="AD214" t="str">
            <v>False</v>
          </cell>
        </row>
        <row r="215">
          <cell r="A215" t="str">
            <v>0011-1365-2020-000214</v>
          </cell>
          <cell r="B215" t="str">
            <v>Diseño y desarrollo de un sistema constructivo completo e industrializable en madera con Lignumstrand, con mínima huella de carbono, herramienta de cálculo y muestra en obra.</v>
          </cell>
          <cell r="C215">
            <v>64760</v>
          </cell>
          <cell r="D215">
            <v>43922</v>
          </cell>
          <cell r="E215">
            <v>44286</v>
          </cell>
          <cell r="F215" t="str">
            <v>ansorena@maderasansorena.com</v>
          </cell>
          <cell r="G215" t="str">
            <v>Energías renovables y recursos</v>
          </cell>
          <cell r="H215" t="str">
            <v>Energías renovables y recursos</v>
          </cell>
          <cell r="I215" t="str">
            <v>Otros</v>
          </cell>
          <cell r="J215" t="str">
            <v>Otros</v>
          </cell>
          <cell r="K215" t="str">
            <v>Promover la economía circular</v>
          </cell>
          <cell r="L215" t="str">
            <v>Promover la economía circular</v>
          </cell>
          <cell r="M215" t="str">
            <v>Empresa</v>
          </cell>
          <cell r="N215" t="str">
            <v>Empresa</v>
          </cell>
          <cell r="O215" t="str">
            <v>Pequeña</v>
          </cell>
          <cell r="P215" t="str">
            <v>Pequeña</v>
          </cell>
          <cell r="Q215" t="str">
            <v>Transferencia del conocimiento</v>
          </cell>
          <cell r="R215" t="str">
            <v>Transferencia del conocimiento</v>
          </cell>
          <cell r="S215" t="str">
            <v>NO</v>
          </cell>
          <cell r="T215" t="str">
            <v>NO</v>
          </cell>
          <cell r="U215" t="str">
            <v>No procede</v>
          </cell>
          <cell r="V215" t="str">
            <v>NO</v>
          </cell>
          <cell r="W215" t="str">
            <v>NO</v>
          </cell>
          <cell r="Z215" t="str">
            <v>No, no tenemos intención de patentar</v>
          </cell>
          <cell r="AA215" t="str">
            <v>No, no tenemos intención de patentar</v>
          </cell>
          <cell r="AB215" t="str">
            <v>Sí, la publicación prevista es en revista científica</v>
          </cell>
          <cell r="AC215" t="str">
            <v>Sí, la publicación prevista es en revista científica</v>
          </cell>
          <cell r="AD215" t="str">
            <v>True</v>
          </cell>
        </row>
        <row r="216">
          <cell r="A216" t="str">
            <v>0011-1365-2020-000215</v>
          </cell>
          <cell r="B216" t="str">
            <v>FLoating dOwnwind Two-blAded TUrbine control (FLOTATU)</v>
          </cell>
          <cell r="C216">
            <v>264000</v>
          </cell>
          <cell r="D216">
            <v>43922</v>
          </cell>
          <cell r="E216">
            <v>44651</v>
          </cell>
          <cell r="F216" t="str">
            <v>roberto.echeverriadelgado@2benergy.com</v>
          </cell>
          <cell r="G216" t="str">
            <v>Energías renovables y recursos</v>
          </cell>
          <cell r="H216" t="str">
            <v>Energías renovables y recursos</v>
          </cell>
          <cell r="I216" t="str">
            <v>Otros</v>
          </cell>
          <cell r="J216" t="str">
            <v>Otros</v>
          </cell>
          <cell r="K216" t="str">
            <v>Fortalecimiento del sector eólico</v>
          </cell>
          <cell r="L216" t="str">
            <v>Fortalecimiento del sector eólico</v>
          </cell>
          <cell r="M216" t="str">
            <v>Empresa</v>
          </cell>
          <cell r="N216" t="str">
            <v>Empresa</v>
          </cell>
          <cell r="O216" t="str">
            <v>Pequeña</v>
          </cell>
          <cell r="P216" t="str">
            <v>Pequeña</v>
          </cell>
          <cell r="Q216" t="str">
            <v>Transferencia del conocimiento</v>
          </cell>
          <cell r="R216" t="str">
            <v>Transferencia del conocimiento</v>
          </cell>
          <cell r="S216" t="str">
            <v>SI</v>
          </cell>
          <cell r="T216" t="str">
            <v>SI</v>
          </cell>
          <cell r="V216" t="str">
            <v>NO</v>
          </cell>
          <cell r="W216" t="str">
            <v>NO</v>
          </cell>
          <cell r="Z216" t="str">
            <v>No, no tenemos intención de patentar</v>
          </cell>
          <cell r="AA216" t="str">
            <v>No, no tenemos intención de patentar</v>
          </cell>
          <cell r="AB216" t="str">
            <v>Sí, la publicación prevista es en revista científica</v>
          </cell>
          <cell r="AC216" t="str">
            <v>Sí, la publicación prevista es en revista científica</v>
          </cell>
          <cell r="AD216" t="str">
            <v>False</v>
          </cell>
        </row>
        <row r="217">
          <cell r="A217" t="str">
            <v>0011-1365-2020-000216</v>
          </cell>
          <cell r="B217" t="str">
            <v>SOLUCIÓN AVANZADA DE REALIDAD VIRTUAL INTERACTIVA PARA RECREAR ESCENARIOS DE INCENDIOS EN EL INTERIOR DE EDIFICIOS (VIRTUAL-FIRE)</v>
          </cell>
          <cell r="C217">
            <v>291180.75</v>
          </cell>
          <cell r="D217">
            <v>43922</v>
          </cell>
          <cell r="E217">
            <v>44651</v>
          </cell>
          <cell r="F217" t="str">
            <v>spangua@tesicnor.com</v>
          </cell>
          <cell r="G217" t="str">
            <v>Industrias creativas y digitales</v>
          </cell>
          <cell r="H217" t="str">
            <v>Industrias creativas y digitales</v>
          </cell>
          <cell r="I217" t="str">
            <v>Tic</v>
          </cell>
          <cell r="J217" t="str">
            <v>Tic</v>
          </cell>
          <cell r="K217" t="str">
            <v>Industrias creativas y digitales</v>
          </cell>
          <cell r="L217" t="str">
            <v>Industrias creativas y digitales</v>
          </cell>
          <cell r="M217" t="str">
            <v>Empresa</v>
          </cell>
          <cell r="N217" t="str">
            <v>Empresa</v>
          </cell>
          <cell r="O217" t="str">
            <v>Mediana</v>
          </cell>
          <cell r="P217" t="str">
            <v>Mediana</v>
          </cell>
          <cell r="Q217" t="str">
            <v>Individual</v>
          </cell>
          <cell r="R217" t="str">
            <v>Individual</v>
          </cell>
          <cell r="S217" t="str">
            <v>SI</v>
          </cell>
          <cell r="T217" t="str">
            <v>SI</v>
          </cell>
          <cell r="V217" t="str">
            <v>NO</v>
          </cell>
          <cell r="W217" t="str">
            <v>NO</v>
          </cell>
          <cell r="Z217" t="str">
            <v>Sí, la patente prevista es europea</v>
          </cell>
          <cell r="AA217" t="str">
            <v>Sí, la patente prevista es europea</v>
          </cell>
          <cell r="AB217" t="str">
            <v>No, no tenemos prevista publicación</v>
          </cell>
          <cell r="AC217" t="str">
            <v>No, no tenemos prevista publicación</v>
          </cell>
          <cell r="AD217" t="str">
            <v>False</v>
          </cell>
        </row>
        <row r="218">
          <cell r="A218" t="str">
            <v>0011-1365-2020-000217</v>
          </cell>
          <cell r="B218" t="str">
            <v>Desarrollo de ecofertilizantes de alta eficacia para elevar la productividad de los cultivos ecológicos. "Ecologic".</v>
          </cell>
          <cell r="C218">
            <v>88540</v>
          </cell>
          <cell r="D218">
            <v>43922</v>
          </cell>
          <cell r="E218">
            <v>44651</v>
          </cell>
          <cell r="F218" t="str">
            <v>proyectos_id@unav.es</v>
          </cell>
          <cell r="G218" t="str">
            <v>Cadena alimentaria</v>
          </cell>
          <cell r="H218" t="str">
            <v>Cadena alimentaria</v>
          </cell>
          <cell r="I218" t="str">
            <v>Biotecnología</v>
          </cell>
          <cell r="J218" t="str">
            <v>Biotecnología</v>
          </cell>
          <cell r="K218" t="str">
            <v>Vertebrar la cadena de valor alimentaria</v>
          </cell>
          <cell r="L218" t="str">
            <v>Vertebrar la cadena de valor alimentaria</v>
          </cell>
          <cell r="M218" t="str">
            <v>Organismo de investigación</v>
          </cell>
          <cell r="N218" t="str">
            <v>Organismo de investigación</v>
          </cell>
          <cell r="O218" t="str">
            <v>Organismo de investigación</v>
          </cell>
          <cell r="P218" t="str">
            <v>Organismo de investigación</v>
          </cell>
          <cell r="Q218" t="str">
            <v>Transferencia del conocimiento</v>
          </cell>
          <cell r="R218" t="str">
            <v>Transferencia del conocimiento</v>
          </cell>
          <cell r="S218" t="str">
            <v>NO</v>
          </cell>
          <cell r="T218" t="str">
            <v>NO</v>
          </cell>
          <cell r="U218" t="str">
            <v>No aplica</v>
          </cell>
          <cell r="V218" t="str">
            <v>NO</v>
          </cell>
          <cell r="W218" t="str">
            <v>NO</v>
          </cell>
          <cell r="Z218" t="str">
            <v>No, no tenemos intención de patentar</v>
          </cell>
          <cell r="AA218" t="str">
            <v>No, no tenemos intención de patentar</v>
          </cell>
          <cell r="AB218" t="str">
            <v>No, no tenemos prevista publicación</v>
          </cell>
          <cell r="AC218" t="str">
            <v>No, no tenemos prevista publicación</v>
          </cell>
          <cell r="AD218" t="str">
            <v>False</v>
          </cell>
        </row>
        <row r="219">
          <cell r="A219" t="str">
            <v>0011-1365-2020-000218</v>
          </cell>
          <cell r="B219" t="str">
            <v>Espacios libres de insectos basados en componentes de hormigón (Blockade 2.0)</v>
          </cell>
          <cell r="C219">
            <v>481615</v>
          </cell>
          <cell r="D219">
            <v>43922</v>
          </cell>
          <cell r="E219">
            <v>44651</v>
          </cell>
          <cell r="F219" t="str">
            <v>notificaciones@pvt.es</v>
          </cell>
          <cell r="G219" t="str">
            <v>Energías renovables y recursos</v>
          </cell>
          <cell r="H219" t="str">
            <v>Energías renovables y recursos</v>
          </cell>
          <cell r="I219" t="str">
            <v>Manufactura avanzada</v>
          </cell>
          <cell r="J219" t="str">
            <v>Manufactura avanzada</v>
          </cell>
          <cell r="K219" t="str">
            <v>Promover la economía circular</v>
          </cell>
          <cell r="L219" t="str">
            <v>Promover la economía circular</v>
          </cell>
          <cell r="M219" t="str">
            <v>Empresa</v>
          </cell>
          <cell r="N219" t="str">
            <v>Empresa</v>
          </cell>
          <cell r="O219" t="str">
            <v>Pequeña</v>
          </cell>
          <cell r="P219" t="str">
            <v>Pequeña</v>
          </cell>
          <cell r="Q219" t="str">
            <v>Transferencia del conocimiento</v>
          </cell>
          <cell r="R219" t="str">
            <v>Transferencia del conocimiento</v>
          </cell>
          <cell r="S219" t="str">
            <v>SI</v>
          </cell>
          <cell r="T219" t="str">
            <v>SI</v>
          </cell>
          <cell r="V219" t="str">
            <v>NO</v>
          </cell>
          <cell r="W219" t="str">
            <v>NO</v>
          </cell>
          <cell r="Z219" t="str">
            <v>Sí, la patente prevista es europea</v>
          </cell>
          <cell r="AA219" t="str">
            <v>Sí, la patente prevista es europea</v>
          </cell>
          <cell r="AB219" t="str">
            <v>Sí, la publicación prevista es en revista científica q1</v>
          </cell>
          <cell r="AC219" t="str">
            <v>Sí, la publicación prevista es en revista científica q1</v>
          </cell>
          <cell r="AD219" t="str">
            <v>False</v>
          </cell>
        </row>
        <row r="220">
          <cell r="A220" t="str">
            <v>0011-1365-2020-000219</v>
          </cell>
          <cell r="B220" t="str">
            <v>VIMAN: Virtualidad, Interactividad y Mapping 3D para generar experiencias impactantes al turista en Navarra</v>
          </cell>
          <cell r="C220">
            <v>152321</v>
          </cell>
          <cell r="D220">
            <v>43922</v>
          </cell>
          <cell r="E220">
            <v>44651</v>
          </cell>
          <cell r="F220" t="str">
            <v>info@micryptobot.com</v>
          </cell>
          <cell r="G220" t="str">
            <v>Turismo integral</v>
          </cell>
          <cell r="H220" t="str">
            <v>Turismo integral</v>
          </cell>
          <cell r="I220" t="str">
            <v>Tic</v>
          </cell>
          <cell r="J220" t="str">
            <v>Tic</v>
          </cell>
          <cell r="K220" t="str">
            <v>Nuevos nichos de oferta turística integral</v>
          </cell>
          <cell r="L220" t="str">
            <v>Nuevos nichos de oferta turística integral</v>
          </cell>
          <cell r="M220" t="str">
            <v>Empresa</v>
          </cell>
          <cell r="N220" t="str">
            <v>Empresa</v>
          </cell>
          <cell r="O220" t="str">
            <v>Pequeña</v>
          </cell>
          <cell r="P220" t="str">
            <v>Pequeña</v>
          </cell>
          <cell r="Q220" t="str">
            <v>Transferencia del conocimiento</v>
          </cell>
          <cell r="R220" t="str">
            <v>Transferencia del conocimiento</v>
          </cell>
          <cell r="S220" t="str">
            <v>NO</v>
          </cell>
          <cell r="T220" t="str">
            <v>NO</v>
          </cell>
          <cell r="U220" t="str">
            <v>No requerido</v>
          </cell>
          <cell r="V220" t="str">
            <v>NO</v>
          </cell>
          <cell r="W220" t="str">
            <v>NO</v>
          </cell>
          <cell r="Z220" t="str">
            <v>No, no tenemos intención de patentar</v>
          </cell>
          <cell r="AA220" t="str">
            <v>No, no tenemos intención de patentar</v>
          </cell>
          <cell r="AB220" t="str">
            <v>Sí, la publicación prevista es en revista científica q1</v>
          </cell>
          <cell r="AC220" t="str">
            <v>Sí, la publicación prevista es en revista científica q1</v>
          </cell>
          <cell r="AD220" t="str">
            <v>False</v>
          </cell>
        </row>
        <row r="221">
          <cell r="A221" t="str">
            <v>0011-1365-2020-000220</v>
          </cell>
          <cell r="B221" t="str">
            <v>DISEÑO Y DESARROLLO DE UNA MAQUINA SEPARACION DE COMPONENTES DE VIDRIO</v>
          </cell>
          <cell r="C221">
            <v>133610</v>
          </cell>
          <cell r="D221">
            <v>43952</v>
          </cell>
          <cell r="E221">
            <v>44012</v>
          </cell>
          <cell r="F221" t="str">
            <v>gestion@rinacon.com</v>
          </cell>
          <cell r="G221" t="str">
            <v>Otros</v>
          </cell>
          <cell r="H221" t="str">
            <v>Otros</v>
          </cell>
          <cell r="I221" t="str">
            <v>Otros</v>
          </cell>
          <cell r="J221" t="str">
            <v>Otros</v>
          </cell>
          <cell r="K221" t="str">
            <v>Otros</v>
          </cell>
          <cell r="L221" t="str">
            <v>Otros</v>
          </cell>
          <cell r="M221" t="str">
            <v>Empresa</v>
          </cell>
          <cell r="N221" t="str">
            <v>Empresa</v>
          </cell>
          <cell r="O221" t="str">
            <v>Pequeña</v>
          </cell>
          <cell r="P221" t="str">
            <v>Pequeña</v>
          </cell>
          <cell r="Q221" t="str">
            <v>Individual</v>
          </cell>
          <cell r="R221" t="str">
            <v>Individual</v>
          </cell>
          <cell r="S221" t="str">
            <v>SI</v>
          </cell>
          <cell r="T221" t="str">
            <v>SI</v>
          </cell>
          <cell r="V221" t="str">
            <v>NO</v>
          </cell>
          <cell r="W221" t="str">
            <v>NO</v>
          </cell>
          <cell r="AA221" t="str">
            <v>Seleccionar...</v>
          </cell>
          <cell r="AB221" t="str">
            <v>No, no tenemos prevista publicación</v>
          </cell>
          <cell r="AC221" t="str">
            <v>No, no tenemos prevista publicación</v>
          </cell>
          <cell r="AD221" t="str">
            <v>False</v>
          </cell>
        </row>
        <row r="222">
          <cell r="A222" t="str">
            <v>0011-1365-2020-000221</v>
          </cell>
          <cell r="B222" t="str">
            <v>Diseño y desarrollo de un sistema constructivo completo e industrializable en madera con Lignumstrand, con mínima huella de carbono, herramienta de cálculo y muestra en obra.</v>
          </cell>
          <cell r="C222">
            <v>58019</v>
          </cell>
          <cell r="D222">
            <v>43922</v>
          </cell>
          <cell r="E222">
            <v>44286</v>
          </cell>
          <cell r="F222" t="str">
            <v>proyectos_id@unav.es</v>
          </cell>
          <cell r="G222" t="str">
            <v>Energías renovables y recursos</v>
          </cell>
          <cell r="H222" t="str">
            <v>Energías renovables y recursos</v>
          </cell>
          <cell r="I222" t="str">
            <v>Manufactura avanzada</v>
          </cell>
          <cell r="J222" t="str">
            <v>Manufactura avanzada</v>
          </cell>
          <cell r="K222" t="str">
            <v>Promover la economía circular</v>
          </cell>
          <cell r="L222" t="str">
            <v>Promover la economía circular</v>
          </cell>
          <cell r="M222" t="str">
            <v>Organismo de investigación</v>
          </cell>
          <cell r="N222" t="str">
            <v>Organismo de investigación</v>
          </cell>
          <cell r="O222" t="str">
            <v>Organismo de investigación</v>
          </cell>
          <cell r="P222" t="str">
            <v>Organismo de investigación</v>
          </cell>
          <cell r="Q222" t="str">
            <v>Transferencia del conocimiento</v>
          </cell>
          <cell r="R222" t="str">
            <v>Transferencia del conocimiento</v>
          </cell>
          <cell r="S222" t="str">
            <v>NO</v>
          </cell>
          <cell r="T222" t="str">
            <v>NO</v>
          </cell>
          <cell r="U222" t="str">
            <v>No aplica</v>
          </cell>
          <cell r="V222" t="str">
            <v>NO</v>
          </cell>
          <cell r="W222" t="str">
            <v>NO</v>
          </cell>
          <cell r="Z222" t="str">
            <v>No, no tenemos intención de patentar</v>
          </cell>
          <cell r="AA222" t="str">
            <v>No, no tenemos intención de patentar</v>
          </cell>
          <cell r="AB222" t="str">
            <v>Sí, la publicación prevista es en revista científica</v>
          </cell>
          <cell r="AC222" t="str">
            <v>Sí, la publicación prevista es en revista científica</v>
          </cell>
          <cell r="AD222" t="str">
            <v>False</v>
          </cell>
        </row>
        <row r="223">
          <cell r="A223" t="str">
            <v>0011-1365-2020-000222</v>
          </cell>
          <cell r="B223" t="str">
            <v>Displays Volumétricos Light-field para presentación de producto configurable.</v>
          </cell>
          <cell r="C223">
            <v>117262.57</v>
          </cell>
          <cell r="D223">
            <v>44068</v>
          </cell>
          <cell r="E223">
            <v>44651</v>
          </cell>
          <cell r="F223" t="str">
            <v>javier@configee.com</v>
          </cell>
          <cell r="G223" t="str">
            <v>Industrias creativas y digitales</v>
          </cell>
          <cell r="H223" t="str">
            <v>Industrias creativas y digitales</v>
          </cell>
          <cell r="I223" t="str">
            <v>Tic</v>
          </cell>
          <cell r="J223" t="str">
            <v>Tic</v>
          </cell>
          <cell r="K223" t="str">
            <v>Transformación 4.0 de la industria navarra</v>
          </cell>
          <cell r="L223" t="str">
            <v>Transformación 4.0 de la industria navarra</v>
          </cell>
          <cell r="M223" t="str">
            <v>Empresa</v>
          </cell>
          <cell r="N223" t="str">
            <v>Empresa</v>
          </cell>
          <cell r="O223" t="str">
            <v>Pequeña</v>
          </cell>
          <cell r="P223" t="str">
            <v>Pequeña</v>
          </cell>
          <cell r="Q223" t="str">
            <v>Transferencia del conocimiento</v>
          </cell>
          <cell r="R223" t="str">
            <v>Transferencia del conocimiento</v>
          </cell>
          <cell r="S223" t="str">
            <v>NO</v>
          </cell>
          <cell r="T223" t="str">
            <v>NO</v>
          </cell>
          <cell r="U223" t="str">
            <v>No precisa inscripcion</v>
          </cell>
          <cell r="V223" t="str">
            <v>NO</v>
          </cell>
          <cell r="W223" t="str">
            <v>NO</v>
          </cell>
          <cell r="Z223" t="str">
            <v>No, no tenemos intención de patentar</v>
          </cell>
          <cell r="AA223" t="str">
            <v>No, no tenemos intención de patentar</v>
          </cell>
          <cell r="AB223" t="str">
            <v>Sí, la publicación prevista es en revista científica q1</v>
          </cell>
          <cell r="AC223" t="str">
            <v>Sí, la publicación prevista es en revista científica q1</v>
          </cell>
          <cell r="AD223" t="str">
            <v>False</v>
          </cell>
        </row>
        <row r="224">
          <cell r="A224" t="str">
            <v>0011-1365-2020-000223</v>
          </cell>
          <cell r="B224" t="str">
            <v>Primer dispositivo médico de prescripción de hábitos saludables, personalizado, inteligente y evolutivo, para pacientes en fase post cirugía</v>
          </cell>
          <cell r="C224">
            <v>190773</v>
          </cell>
          <cell r="D224">
            <v>43922</v>
          </cell>
          <cell r="E224">
            <v>44651</v>
          </cell>
          <cell r="F224" t="str">
            <v>proyectos_id@unav.es</v>
          </cell>
          <cell r="G224" t="str">
            <v>Salud</v>
          </cell>
          <cell r="H224" t="str">
            <v>Salud</v>
          </cell>
          <cell r="I224" t="str">
            <v>Tic</v>
          </cell>
          <cell r="J224" t="str">
            <v>Tic</v>
          </cell>
          <cell r="K224" t="str">
            <v>Desarrollo de la medicina personalizada</v>
          </cell>
          <cell r="L224" t="str">
            <v>Desarrollo de la medicina personalizada</v>
          </cell>
          <cell r="M224" t="str">
            <v>Organismo de investigación</v>
          </cell>
          <cell r="N224" t="str">
            <v>Organismo de investigación</v>
          </cell>
          <cell r="O224" t="str">
            <v>Organismo de investigación</v>
          </cell>
          <cell r="P224" t="str">
            <v>Organismo de investigación</v>
          </cell>
          <cell r="Q224" t="str">
            <v>Transferencia del conocimiento</v>
          </cell>
          <cell r="R224" t="str">
            <v>Transferencia del conocimiento</v>
          </cell>
          <cell r="S224" t="str">
            <v>NO</v>
          </cell>
          <cell r="T224" t="str">
            <v>NO</v>
          </cell>
          <cell r="U224" t="str">
            <v>No aplica</v>
          </cell>
          <cell r="V224" t="str">
            <v>NO</v>
          </cell>
          <cell r="W224" t="str">
            <v>NO</v>
          </cell>
          <cell r="Z224" t="str">
            <v>No, no tenemos intención de patentar</v>
          </cell>
          <cell r="AA224" t="str">
            <v>No, no tenemos intención de patentar</v>
          </cell>
          <cell r="AB224" t="str">
            <v>Sí, la publicación prevista es en revista científica q1</v>
          </cell>
          <cell r="AC224" t="str">
            <v>Sí, la publicación prevista es en revista científica q1</v>
          </cell>
          <cell r="AD224" t="str">
            <v>False</v>
          </cell>
        </row>
        <row r="225">
          <cell r="A225" t="str">
            <v>0011-1365-2020-000224</v>
          </cell>
          <cell r="B225" t="str">
            <v>NEUROCAPS</v>
          </cell>
          <cell r="C225">
            <v>115.47</v>
          </cell>
          <cell r="D225">
            <v>43922</v>
          </cell>
          <cell r="E225">
            <v>44650</v>
          </cell>
          <cell r="F225" t="str">
            <v>proyectos_id@unav.es</v>
          </cell>
          <cell r="G225" t="str">
            <v>Salud</v>
          </cell>
          <cell r="H225" t="str">
            <v>Salud</v>
          </cell>
          <cell r="I225" t="str">
            <v>Biotecnología</v>
          </cell>
          <cell r="J225" t="str">
            <v>Biotecnología</v>
          </cell>
          <cell r="K225" t="str">
            <v>Desarrollo de la medicina personalizada</v>
          </cell>
          <cell r="L225" t="str">
            <v>Desarrollo de la medicina personalizada</v>
          </cell>
          <cell r="M225" t="str">
            <v>Organismo de investigación</v>
          </cell>
          <cell r="N225" t="str">
            <v>Organismo de investigación</v>
          </cell>
          <cell r="O225" t="str">
            <v>Organismo de investigación</v>
          </cell>
          <cell r="P225" t="str">
            <v>Organismo de investigación</v>
          </cell>
          <cell r="Q225" t="str">
            <v>Transferencia del conocimiento</v>
          </cell>
          <cell r="R225" t="str">
            <v>Transferencia del conocimiento</v>
          </cell>
          <cell r="S225" t="str">
            <v>NO</v>
          </cell>
          <cell r="T225" t="str">
            <v>NO</v>
          </cell>
          <cell r="U225" t="str">
            <v>No aplica</v>
          </cell>
          <cell r="V225" t="str">
            <v>NO</v>
          </cell>
          <cell r="W225" t="str">
            <v>NO</v>
          </cell>
          <cell r="Z225" t="str">
            <v>Sí, la patente prevista es europea</v>
          </cell>
          <cell r="AA225" t="str">
            <v>Sí, la patente prevista es europea</v>
          </cell>
          <cell r="AB225" t="str">
            <v>Sí, la publicación prevista es en revista científica</v>
          </cell>
          <cell r="AC225" t="str">
            <v>Sí, la publicación prevista es en revista científica</v>
          </cell>
          <cell r="AD225" t="str">
            <v>False</v>
          </cell>
        </row>
        <row r="226">
          <cell r="A226" t="str">
            <v>0011-1365-2020-000225</v>
          </cell>
          <cell r="B226" t="str">
            <v>Sistema ciber físico de impresión digital 4.0</v>
          </cell>
          <cell r="C226">
            <v>215918</v>
          </cell>
          <cell r="D226">
            <v>43922</v>
          </cell>
          <cell r="E226">
            <v>44651</v>
          </cell>
          <cell r="F226" t="str">
            <v>administracion@binariadigital.com</v>
          </cell>
          <cell r="G226" t="str">
            <v>Automoción y mecatrónica</v>
          </cell>
          <cell r="H226" t="str">
            <v>Automoción y mecatrónica</v>
          </cell>
          <cell r="I226" t="str">
            <v>Tic</v>
          </cell>
          <cell r="J226" t="str">
            <v>Tic</v>
          </cell>
          <cell r="K226" t="str">
            <v>Transformación 4.0 de la industria navarra</v>
          </cell>
          <cell r="L226" t="str">
            <v>Transformación 4.0 de la industria navarra</v>
          </cell>
          <cell r="M226" t="str">
            <v>Empresa</v>
          </cell>
          <cell r="N226" t="str">
            <v>Empresa</v>
          </cell>
          <cell r="O226" t="str">
            <v>Pequeña</v>
          </cell>
          <cell r="P226" t="str">
            <v>Pequeña</v>
          </cell>
          <cell r="Q226" t="str">
            <v>Individual</v>
          </cell>
          <cell r="R226" t="str">
            <v>Individual</v>
          </cell>
          <cell r="S226" t="str">
            <v>SI</v>
          </cell>
          <cell r="T226" t="str">
            <v>SI</v>
          </cell>
          <cell r="V226" t="str">
            <v>NO</v>
          </cell>
          <cell r="W226" t="str">
            <v>NO</v>
          </cell>
          <cell r="Z226" t="str">
            <v>No, no tenemos intención de patentar</v>
          </cell>
          <cell r="AA226" t="str">
            <v>No, no tenemos intención de patentar</v>
          </cell>
          <cell r="AB226" t="str">
            <v>No, no tenemos prevista publicación</v>
          </cell>
          <cell r="AC226" t="str">
            <v>No, no tenemos prevista publicación</v>
          </cell>
          <cell r="AD226" t="str">
            <v>False</v>
          </cell>
        </row>
        <row r="227">
          <cell r="A227" t="str">
            <v>0011-1365-2020-000226</v>
          </cell>
          <cell r="B227" t="str">
            <v>DISEÑO Y DESARROLLO DE SISTEMAS DE NOTIFICACIÓN VISUAL FLEXIBLES CON PROPIEDADES ÓPTICAS AVANZADAS PARA LAS HMI</v>
          </cell>
          <cell r="C227">
            <v>325358.78000000003</v>
          </cell>
          <cell r="D227">
            <v>43922</v>
          </cell>
          <cell r="E227">
            <v>44651</v>
          </cell>
          <cell r="F227" t="str">
            <v>acasanova@embega.es</v>
          </cell>
          <cell r="G227" t="str">
            <v>Automoción y mecatrónica</v>
          </cell>
          <cell r="H227" t="str">
            <v>Automoción y mecatrónica</v>
          </cell>
          <cell r="I227" t="str">
            <v>Manufactura avanzada</v>
          </cell>
          <cell r="J227" t="str">
            <v>Manufactura avanzada</v>
          </cell>
          <cell r="K227" t="str">
            <v>Transformación 4.0 de la industria navarra</v>
          </cell>
          <cell r="L227" t="str">
            <v>Transformación 4.0 de la industria navarra</v>
          </cell>
          <cell r="M227" t="str">
            <v>Empresa</v>
          </cell>
          <cell r="N227" t="str">
            <v>Empresa</v>
          </cell>
          <cell r="O227" t="str">
            <v>Mediana</v>
          </cell>
          <cell r="P227" t="str">
            <v>Mediana</v>
          </cell>
          <cell r="Q227" t="str">
            <v>Transferencia del conocimiento</v>
          </cell>
          <cell r="R227" t="str">
            <v>Transferencia del conocimiento</v>
          </cell>
          <cell r="S227" t="str">
            <v>SI</v>
          </cell>
          <cell r="T227" t="str">
            <v>SI</v>
          </cell>
          <cell r="U227" t="str">
            <v>15-A-256-00007210</v>
          </cell>
          <cell r="V227" t="str">
            <v>NO</v>
          </cell>
          <cell r="W227" t="str">
            <v>NO</v>
          </cell>
          <cell r="Z227" t="str">
            <v>Sí, la patente prevista es europea</v>
          </cell>
          <cell r="AA227" t="str">
            <v>Sí, la patente prevista es europea</v>
          </cell>
          <cell r="AB227" t="str">
            <v>Sí, la publicación prevista es en revista científica q1</v>
          </cell>
          <cell r="AC227" t="str">
            <v>Sí, la publicación prevista es en revista científica q1</v>
          </cell>
          <cell r="AD227" t="str">
            <v>False</v>
          </cell>
        </row>
        <row r="228">
          <cell r="A228" t="str">
            <v>0011-1365-2020-000227</v>
          </cell>
          <cell r="B228" t="str">
            <v>De un modelo BIM a un modelo BEM (BandB)</v>
          </cell>
          <cell r="C228">
            <v>198240</v>
          </cell>
          <cell r="D228">
            <v>43922</v>
          </cell>
          <cell r="E228">
            <v>44651</v>
          </cell>
          <cell r="F228" t="str">
            <v>proyectos_id@unav.es</v>
          </cell>
          <cell r="G228" t="str">
            <v>Energías renovables y recursos</v>
          </cell>
          <cell r="H228" t="str">
            <v>Energías renovables y recursos</v>
          </cell>
          <cell r="I228" t="str">
            <v>Tic</v>
          </cell>
          <cell r="J228" t="str">
            <v>Tic</v>
          </cell>
          <cell r="K228" t="str">
            <v>Disminución del consumo de energías fósiles</v>
          </cell>
          <cell r="L228" t="str">
            <v>Disminución del consumo de energías fósiles</v>
          </cell>
          <cell r="M228" t="str">
            <v>Organismo de investigación</v>
          </cell>
          <cell r="N228" t="str">
            <v>Organismo de investigación</v>
          </cell>
          <cell r="O228" t="str">
            <v>Organismo de investigación</v>
          </cell>
          <cell r="P228" t="str">
            <v>Organismo de investigación</v>
          </cell>
          <cell r="Q228" t="str">
            <v>Transferencia del conocimiento</v>
          </cell>
          <cell r="R228" t="str">
            <v>Transferencia del conocimiento</v>
          </cell>
          <cell r="S228" t="str">
            <v>NO</v>
          </cell>
          <cell r="T228" t="str">
            <v>NO</v>
          </cell>
          <cell r="U228" t="str">
            <v>No aplica</v>
          </cell>
          <cell r="V228" t="str">
            <v>NO</v>
          </cell>
          <cell r="W228" t="str">
            <v>NO</v>
          </cell>
          <cell r="Z228" t="str">
            <v>No, no tenemos intención de patentar</v>
          </cell>
          <cell r="AA228" t="str">
            <v>No, no tenemos intención de patentar</v>
          </cell>
          <cell r="AB228" t="str">
            <v>Sí, la publicación prevista es en revista científica q1</v>
          </cell>
          <cell r="AC228" t="str">
            <v>Sí, la publicación prevista es en revista científica q1</v>
          </cell>
          <cell r="AD228" t="str">
            <v>False</v>
          </cell>
        </row>
        <row r="229">
          <cell r="A229" t="str">
            <v>0011-1365-2020-000228</v>
          </cell>
          <cell r="B229" t="str">
            <v>NUEVAS METODOLOGÍAS DE GESTIÓN INTEGRAL DE LA CADENA DE VALOR DE BIOMASA</v>
          </cell>
          <cell r="C229">
            <v>1909500</v>
          </cell>
          <cell r="D229">
            <v>43922</v>
          </cell>
          <cell r="E229">
            <v>44651</v>
          </cell>
          <cell r="F229" t="str">
            <v>cristina.rezusta.bator@acciona.com</v>
          </cell>
          <cell r="G229" t="str">
            <v>Energías renovables y recursos</v>
          </cell>
          <cell r="H229" t="str">
            <v>Energías renovables y recursos</v>
          </cell>
          <cell r="I229" t="str">
            <v>Tic</v>
          </cell>
          <cell r="J229" t="str">
            <v>Tic</v>
          </cell>
          <cell r="K229" t="str">
            <v>Disminución del consumo de energías fósiles</v>
          </cell>
          <cell r="L229" t="str">
            <v>Disminución del consumo de energías fósiles</v>
          </cell>
          <cell r="M229" t="str">
            <v>Empresa</v>
          </cell>
          <cell r="N229" t="str">
            <v>Empresa</v>
          </cell>
          <cell r="O229" t="str">
            <v>Grande</v>
          </cell>
          <cell r="P229" t="str">
            <v>Grande</v>
          </cell>
          <cell r="Q229" t="str">
            <v>Individual</v>
          </cell>
          <cell r="R229" t="str">
            <v>Individual</v>
          </cell>
          <cell r="S229" t="str">
            <v>SI</v>
          </cell>
          <cell r="T229" t="str">
            <v>SI</v>
          </cell>
          <cell r="V229" t="str">
            <v>NO</v>
          </cell>
          <cell r="W229" t="str">
            <v>NO</v>
          </cell>
          <cell r="Z229" t="str">
            <v>No, no tenemos intención de patentar</v>
          </cell>
          <cell r="AA229" t="str">
            <v>No, no tenemos intención de patentar</v>
          </cell>
          <cell r="AB229" t="str">
            <v>No, no tenemos prevista publicación</v>
          </cell>
          <cell r="AC229" t="str">
            <v>No, no tenemos prevista publicación</v>
          </cell>
          <cell r="AD229" t="str">
            <v>False</v>
          </cell>
        </row>
        <row r="230">
          <cell r="A230" t="str">
            <v>0011-1365-2020-000229</v>
          </cell>
          <cell r="B230" t="str">
            <v>NUEVOS PROBIOTICOS SUSTITUTIVOS DE ANTIBIOTICOS Y DEL ÓXIDO DE ZINC PARA MEJORA DE LA SANIDAD PORCINA (ANISAN)</v>
          </cell>
          <cell r="C230">
            <v>161726.5</v>
          </cell>
          <cell r="D230">
            <v>43922</v>
          </cell>
          <cell r="E230">
            <v>44651</v>
          </cell>
          <cell r="F230" t="str">
            <v>jirecalde@grupoobanos.com</v>
          </cell>
          <cell r="G230" t="str">
            <v>Cadena alimentaria</v>
          </cell>
          <cell r="H230" t="str">
            <v>Cadena alimentaria</v>
          </cell>
          <cell r="I230" t="str">
            <v>Biotecnología</v>
          </cell>
          <cell r="J230" t="str">
            <v>Biotecnología</v>
          </cell>
          <cell r="K230" t="str">
            <v>Vertebrar la cadena de valor alimentaria</v>
          </cell>
          <cell r="L230" t="str">
            <v>Vertebrar la cadena de valor alimentaria</v>
          </cell>
          <cell r="M230" t="str">
            <v>Empresa</v>
          </cell>
          <cell r="N230" t="str">
            <v>Empresa</v>
          </cell>
          <cell r="O230" t="str">
            <v>Mediana</v>
          </cell>
          <cell r="P230" t="str">
            <v>Mediana</v>
          </cell>
          <cell r="Q230" t="str">
            <v>Cooperativo</v>
          </cell>
          <cell r="R230" t="str">
            <v>Cooperativo</v>
          </cell>
          <cell r="S230" t="str">
            <v>NO</v>
          </cell>
          <cell r="T230" t="str">
            <v>NO</v>
          </cell>
          <cell r="U230" t="str">
            <v>no procede</v>
          </cell>
          <cell r="V230" t="str">
            <v>SI</v>
          </cell>
          <cell r="W230" t="str">
            <v>SI</v>
          </cell>
          <cell r="Y230" t="str">
            <v>CDTI</v>
          </cell>
          <cell r="Z230" t="str">
            <v>No, no tenemos intención de patentar</v>
          </cell>
          <cell r="AA230" t="str">
            <v>No, no tenemos intención de patentar</v>
          </cell>
          <cell r="AB230" t="str">
            <v>No, no tenemos prevista publicación</v>
          </cell>
          <cell r="AC230" t="str">
            <v>No, no tenemos prevista publicación</v>
          </cell>
          <cell r="AD230" t="str">
            <v>False</v>
          </cell>
        </row>
        <row r="231">
          <cell r="A231" t="str">
            <v>0011-1365-2020-000230</v>
          </cell>
          <cell r="B231" t="str">
            <v>NEUROCAPS</v>
          </cell>
          <cell r="C231">
            <v>115474.86</v>
          </cell>
          <cell r="D231">
            <v>43922</v>
          </cell>
          <cell r="E231">
            <v>44650</v>
          </cell>
          <cell r="F231" t="str">
            <v>proyectos_id@unav.es</v>
          </cell>
          <cell r="G231" t="str">
            <v>Salud</v>
          </cell>
          <cell r="H231" t="str">
            <v>Salud</v>
          </cell>
          <cell r="I231" t="str">
            <v>Biotecnología</v>
          </cell>
          <cell r="J231" t="str">
            <v>Biotecnología</v>
          </cell>
          <cell r="K231" t="str">
            <v>Desarrollo de la medicina personalizada</v>
          </cell>
          <cell r="L231" t="str">
            <v>Desarrollo de la medicina personalizada</v>
          </cell>
          <cell r="M231" t="str">
            <v>Organismo de investigación</v>
          </cell>
          <cell r="N231" t="str">
            <v>Organismo de investigación</v>
          </cell>
          <cell r="O231" t="str">
            <v>Organismo de investigación</v>
          </cell>
          <cell r="P231" t="str">
            <v>Organismo de investigación</v>
          </cell>
          <cell r="Q231" t="str">
            <v>Transferencia del conocimiento</v>
          </cell>
          <cell r="R231" t="str">
            <v>Transferencia del conocimiento</v>
          </cell>
          <cell r="S231" t="str">
            <v>NO</v>
          </cell>
          <cell r="T231" t="str">
            <v>NO</v>
          </cell>
          <cell r="U231" t="str">
            <v>No aplica</v>
          </cell>
          <cell r="V231" t="str">
            <v>NO</v>
          </cell>
          <cell r="W231" t="str">
            <v>NO</v>
          </cell>
          <cell r="Z231" t="str">
            <v>Sí, la patente prevista es europea</v>
          </cell>
          <cell r="AA231" t="str">
            <v>Sí, la patente prevista es europea</v>
          </cell>
          <cell r="AB231" t="str">
            <v>Sí, la publicación prevista es en revista científica</v>
          </cell>
          <cell r="AC231" t="str">
            <v>Sí, la publicación prevista es en revista científica</v>
          </cell>
          <cell r="AD231" t="str">
            <v>False</v>
          </cell>
        </row>
        <row r="232">
          <cell r="A232" t="str">
            <v>0011-1365-2020-000231</v>
          </cell>
          <cell r="B232" t="str">
            <v>Nuevas estrategias de revalorización del purín de vacuno encuadradas en el desarrollo de la economía circular</v>
          </cell>
          <cell r="C232">
            <v>129401</v>
          </cell>
          <cell r="D232">
            <v>43922</v>
          </cell>
          <cell r="E232">
            <v>44651</v>
          </cell>
          <cell r="F232" t="str">
            <v>JZABALA@ALBAIKIDE.COM</v>
          </cell>
          <cell r="G232" t="str">
            <v>Energías renovables y recursos</v>
          </cell>
          <cell r="H232" t="str">
            <v>Energías renovables y recursos</v>
          </cell>
          <cell r="I232" t="str">
            <v>Biotecnología</v>
          </cell>
          <cell r="J232" t="str">
            <v>Biotecnología</v>
          </cell>
          <cell r="K232" t="str">
            <v>Promover la economía circular</v>
          </cell>
          <cell r="L232" t="str">
            <v>Promover la economía circular</v>
          </cell>
          <cell r="M232" t="str">
            <v>Empresa</v>
          </cell>
          <cell r="N232" t="str">
            <v>Empresa</v>
          </cell>
          <cell r="O232" t="str">
            <v>Mediana</v>
          </cell>
          <cell r="P232" t="str">
            <v>Mediana</v>
          </cell>
          <cell r="Q232" t="str">
            <v>Cooperativo</v>
          </cell>
          <cell r="R232" t="str">
            <v>Cooperativo</v>
          </cell>
          <cell r="S232" t="str">
            <v>NO</v>
          </cell>
          <cell r="T232" t="str">
            <v>NO</v>
          </cell>
          <cell r="V232" t="str">
            <v>NO</v>
          </cell>
          <cell r="W232" t="str">
            <v>NO</v>
          </cell>
          <cell r="Z232" t="str">
            <v>No, no tenemos intención de patentar</v>
          </cell>
          <cell r="AA232" t="str">
            <v>No, no tenemos intención de patentar</v>
          </cell>
          <cell r="AB232" t="str">
            <v>Sí, la publicación prevista es en revista científica</v>
          </cell>
          <cell r="AC232" t="str">
            <v>Sí, la publicación prevista es en revista científica</v>
          </cell>
          <cell r="AD232" t="str">
            <v>False</v>
          </cell>
        </row>
        <row r="233">
          <cell r="A233" t="str">
            <v>0011-1365-2020-000232</v>
          </cell>
          <cell r="B233" t="str">
            <v>COMPOSTENEDOR: Sistema Inteligente de Tratamiento de Compostaje Urbano Descentralizado</v>
          </cell>
          <cell r="C233">
            <v>173385</v>
          </cell>
          <cell r="D233">
            <v>43922</v>
          </cell>
          <cell r="E233">
            <v>44651</v>
          </cell>
          <cell r="F233" t="str">
            <v>david@vermican.com</v>
          </cell>
          <cell r="G233" t="str">
            <v>Energías renovables y recursos</v>
          </cell>
          <cell r="H233" t="str">
            <v>Energías renovables y recursos</v>
          </cell>
          <cell r="I233" t="str">
            <v>Tic</v>
          </cell>
          <cell r="J233" t="str">
            <v>Tic</v>
          </cell>
          <cell r="K233" t="str">
            <v>Promover la economía circular</v>
          </cell>
          <cell r="L233" t="str">
            <v>Promover la economía circular</v>
          </cell>
          <cell r="M233" t="str">
            <v>Empresa</v>
          </cell>
          <cell r="N233" t="str">
            <v>Empresa</v>
          </cell>
          <cell r="O233" t="str">
            <v>Pequeña</v>
          </cell>
          <cell r="P233" t="str">
            <v>Pequeña</v>
          </cell>
          <cell r="Q233" t="str">
            <v>Transferencia del conocimiento</v>
          </cell>
          <cell r="R233" t="str">
            <v>Transferencia del conocimiento</v>
          </cell>
          <cell r="S233" t="str">
            <v>SI</v>
          </cell>
          <cell r="T233" t="str">
            <v>SI</v>
          </cell>
          <cell r="V233" t="str">
            <v>NO</v>
          </cell>
          <cell r="W233" t="str">
            <v>NO</v>
          </cell>
          <cell r="Z233" t="str">
            <v>Sí, la patente prevista es europea</v>
          </cell>
          <cell r="AA233" t="str">
            <v>Sí, la patente prevista es europea</v>
          </cell>
          <cell r="AB233" t="str">
            <v>No, no tenemos prevista publicación</v>
          </cell>
          <cell r="AC233" t="str">
            <v>No, no tenemos prevista publicación</v>
          </cell>
          <cell r="AD233" t="str">
            <v>False</v>
          </cell>
        </row>
        <row r="234">
          <cell r="A234" t="str">
            <v>0011-1365-2020-000233</v>
          </cell>
          <cell r="B234" t="str">
            <v>NUEVAS ESTRATEGIAS DE REVALORIZACIÓN DE PURÍN VACUNO</v>
          </cell>
          <cell r="C234">
            <v>90718</v>
          </cell>
          <cell r="D234">
            <v>43922</v>
          </cell>
          <cell r="E234">
            <v>44651</v>
          </cell>
          <cell r="F234" t="str">
            <v>JZABALA@ALBAIKIDE.COM</v>
          </cell>
          <cell r="G234" t="str">
            <v>Energías renovables y recursos</v>
          </cell>
          <cell r="H234" t="str">
            <v>Energías renovables y recursos</v>
          </cell>
          <cell r="I234" t="str">
            <v>Biotecnología</v>
          </cell>
          <cell r="J234" t="str">
            <v>Biotecnología</v>
          </cell>
          <cell r="K234" t="str">
            <v>Promover la economía circular</v>
          </cell>
          <cell r="L234" t="str">
            <v>Promover la economía circular</v>
          </cell>
          <cell r="M234" t="str">
            <v>Empresa</v>
          </cell>
          <cell r="N234" t="str">
            <v>Empresa</v>
          </cell>
          <cell r="O234" t="str">
            <v>Pequeña</v>
          </cell>
          <cell r="P234" t="str">
            <v>Pequeña</v>
          </cell>
          <cell r="Q234" t="str">
            <v>Cooperativo</v>
          </cell>
          <cell r="R234" t="str">
            <v>Cooperativo</v>
          </cell>
          <cell r="S234" t="str">
            <v>NO</v>
          </cell>
          <cell r="T234" t="str">
            <v>NO</v>
          </cell>
          <cell r="U234" t="str">
            <v>NO PROCEDE</v>
          </cell>
          <cell r="V234" t="str">
            <v>NO</v>
          </cell>
          <cell r="W234" t="str">
            <v>NO</v>
          </cell>
          <cell r="Z234" t="str">
            <v>No, no tenemos intención de patentar</v>
          </cell>
          <cell r="AA234" t="str">
            <v>No, no tenemos intención de patentar</v>
          </cell>
          <cell r="AB234" t="str">
            <v>Sí, la publicación prevista es en revista científica</v>
          </cell>
          <cell r="AC234" t="str">
            <v>Sí, la publicación prevista es en revista científica</v>
          </cell>
          <cell r="AD234" t="str">
            <v>False</v>
          </cell>
        </row>
        <row r="235">
          <cell r="A235" t="str">
            <v>0011-1365-2020-000234</v>
          </cell>
          <cell r="B235" t="str">
            <v>Diseño y desarrollo de un sistema constructivo completo e industrializable en madera con Lignumstrand, con mínima huella de carbono, herramienta de cálculo y muestra en obra.</v>
          </cell>
          <cell r="C235">
            <v>13650</v>
          </cell>
          <cell r="D235">
            <v>43922</v>
          </cell>
          <cell r="E235">
            <v>44286</v>
          </cell>
          <cell r="F235" t="str">
            <v>bdp@coavn.org</v>
          </cell>
          <cell r="G235" t="str">
            <v>Energías renovables y recursos</v>
          </cell>
          <cell r="H235" t="str">
            <v>Energías renovables y recursos</v>
          </cell>
          <cell r="I235" t="str">
            <v>Otros</v>
          </cell>
          <cell r="J235" t="str">
            <v>Otros</v>
          </cell>
          <cell r="K235" t="str">
            <v>Promover la economía circular</v>
          </cell>
          <cell r="L235" t="str">
            <v>Promover la economía circular</v>
          </cell>
          <cell r="M235" t="str">
            <v>Empresa</v>
          </cell>
          <cell r="N235" t="str">
            <v>Empresa</v>
          </cell>
          <cell r="O235" t="str">
            <v>Pequeña</v>
          </cell>
          <cell r="P235" t="str">
            <v>Pequeña</v>
          </cell>
          <cell r="Q235" t="str">
            <v>Transferencia del conocimiento</v>
          </cell>
          <cell r="R235" t="str">
            <v>Transferencia del conocimiento</v>
          </cell>
          <cell r="S235" t="str">
            <v>NO</v>
          </cell>
          <cell r="T235" t="str">
            <v>NO</v>
          </cell>
          <cell r="U235" t="str">
            <v>No está obligado</v>
          </cell>
          <cell r="V235" t="str">
            <v>NO</v>
          </cell>
          <cell r="W235" t="str">
            <v>NO</v>
          </cell>
          <cell r="Z235" t="str">
            <v>No, no tenemos intención de patentar</v>
          </cell>
          <cell r="AA235" t="str">
            <v>No, no tenemos intención de patentar</v>
          </cell>
          <cell r="AB235" t="str">
            <v>Sí, la publicación prevista es en revista científica</v>
          </cell>
          <cell r="AC235" t="str">
            <v>Sí, la publicación prevista es en revista científica</v>
          </cell>
          <cell r="AD235" t="str">
            <v>False</v>
          </cell>
        </row>
        <row r="236">
          <cell r="A236" t="str">
            <v>0011-1365-2020-000235</v>
          </cell>
          <cell r="B236" t="str">
            <v>COMPOSTENEDOR: Sistema Inteligente de Tratamiento de Compostaje Urbano Descentralizado</v>
          </cell>
          <cell r="C236">
            <v>170393</v>
          </cell>
          <cell r="D236">
            <v>43922</v>
          </cell>
          <cell r="E236">
            <v>44651</v>
          </cell>
          <cell r="F236" t="str">
            <v>aursua@ain.es</v>
          </cell>
          <cell r="G236" t="str">
            <v>Energías renovables y recursos</v>
          </cell>
          <cell r="H236" t="str">
            <v>Energías renovables y recursos</v>
          </cell>
          <cell r="I236" t="str">
            <v>Tic</v>
          </cell>
          <cell r="J236" t="str">
            <v>Tic</v>
          </cell>
          <cell r="K236" t="str">
            <v>Promover la economía circular</v>
          </cell>
          <cell r="L236" t="str">
            <v>Promover la economía circular</v>
          </cell>
          <cell r="M236" t="str">
            <v>Organismo de investigación</v>
          </cell>
          <cell r="N236" t="str">
            <v>Organismo de investigación</v>
          </cell>
          <cell r="O236" t="str">
            <v>Organismo de investigación</v>
          </cell>
          <cell r="P236" t="str">
            <v>Organismo de investigación</v>
          </cell>
          <cell r="Q236" t="str">
            <v>Transferencia del conocimiento</v>
          </cell>
          <cell r="R236" t="str">
            <v>Transferencia del conocimiento</v>
          </cell>
          <cell r="S236" t="str">
            <v>SI</v>
          </cell>
          <cell r="T236" t="str">
            <v>SI</v>
          </cell>
          <cell r="V236" t="str">
            <v>NO</v>
          </cell>
          <cell r="W236" t="str">
            <v>NO</v>
          </cell>
          <cell r="Z236" t="str">
            <v>No, no tenemos intención de patentar</v>
          </cell>
          <cell r="AA236" t="str">
            <v>No, no tenemos intención de patentar</v>
          </cell>
          <cell r="AB236" t="str">
            <v>No, no tenemos prevista publicación</v>
          </cell>
          <cell r="AC236" t="str">
            <v>No, no tenemos prevista publicación</v>
          </cell>
          <cell r="AD236" t="str">
            <v>False</v>
          </cell>
        </row>
        <row r="237">
          <cell r="A237" t="str">
            <v>0011-1365-2020-000236</v>
          </cell>
          <cell r="B237" t="str">
            <v>NUEVO EQUIPO PARA LOGÍSTICA COLABORATIVA - COLLOG</v>
          </cell>
          <cell r="C237">
            <v>135469</v>
          </cell>
          <cell r="D237">
            <v>43922</v>
          </cell>
          <cell r="E237">
            <v>44651</v>
          </cell>
          <cell r="F237" t="str">
            <v>mbarcia@sice.com</v>
          </cell>
          <cell r="G237" t="str">
            <v>Automoción y mecatrónica</v>
          </cell>
          <cell r="H237" t="str">
            <v>Automoción y mecatrónica</v>
          </cell>
          <cell r="I237" t="str">
            <v>Manufactura avanzada</v>
          </cell>
          <cell r="J237" t="str">
            <v>Manufactura avanzada</v>
          </cell>
          <cell r="K237" t="str">
            <v>Transformación 4.0 de la industria navarra</v>
          </cell>
          <cell r="L237" t="str">
            <v>Transformación 4.0 de la industria navarra</v>
          </cell>
          <cell r="M237" t="str">
            <v>Empresa</v>
          </cell>
          <cell r="N237" t="str">
            <v>Empresa</v>
          </cell>
          <cell r="O237" t="str">
            <v>Grande</v>
          </cell>
          <cell r="P237" t="str">
            <v>Grande</v>
          </cell>
          <cell r="Q237" t="str">
            <v>Cooperativo</v>
          </cell>
          <cell r="R237" t="str">
            <v>Cooperativo</v>
          </cell>
          <cell r="S237" t="str">
            <v>NO</v>
          </cell>
          <cell r="T237" t="str">
            <v>NO</v>
          </cell>
          <cell r="U237" t="str">
            <v>No aplica</v>
          </cell>
          <cell r="V237" t="str">
            <v>NO</v>
          </cell>
          <cell r="W237" t="str">
            <v>NO</v>
          </cell>
          <cell r="Z237" t="str">
            <v>No, no tenemos intención de patentar</v>
          </cell>
          <cell r="AA237" t="str">
            <v>No, no tenemos intención de patentar</v>
          </cell>
          <cell r="AB237" t="str">
            <v>No, no tenemos prevista publicación</v>
          </cell>
          <cell r="AC237" t="str">
            <v>No, no tenemos prevista publicación</v>
          </cell>
          <cell r="AD237" t="str">
            <v>False</v>
          </cell>
        </row>
        <row r="238">
          <cell r="A238" t="str">
            <v>0011-1365-2020-000237</v>
          </cell>
          <cell r="B238" t="str">
            <v>ARCA: Desarrollo de generador solar fotovoltaico con almacenamiento de energía para abastecimiento energético y comunicación en localizaciones aisladas bajo condiciones extremas.</v>
          </cell>
          <cell r="C238">
            <v>345050</v>
          </cell>
          <cell r="D238">
            <v>43922</v>
          </cell>
          <cell r="E238">
            <v>44650</v>
          </cell>
          <cell r="F238" t="str">
            <v>jjsuberviola@solartia.com</v>
          </cell>
          <cell r="G238" t="str">
            <v>Energías renovables y recursos</v>
          </cell>
          <cell r="H238" t="str">
            <v>Energías renovables y recursos</v>
          </cell>
          <cell r="I238" t="str">
            <v>Tic</v>
          </cell>
          <cell r="J238" t="str">
            <v>Tic</v>
          </cell>
          <cell r="K238" t="str">
            <v>Disminución del consumo de energías fósiles</v>
          </cell>
          <cell r="L238" t="str">
            <v>Disminución del consumo de energías fósiles</v>
          </cell>
          <cell r="M238" t="str">
            <v>Empresa</v>
          </cell>
          <cell r="N238" t="str">
            <v>Empresa</v>
          </cell>
          <cell r="O238" t="str">
            <v>Pequeña</v>
          </cell>
          <cell r="P238" t="str">
            <v>Pequeña</v>
          </cell>
          <cell r="Q238" t="str">
            <v>Cooperativo</v>
          </cell>
          <cell r="R238" t="str">
            <v>Cooperativo</v>
          </cell>
          <cell r="S238" t="str">
            <v>NO</v>
          </cell>
          <cell r="T238" t="str">
            <v>NO</v>
          </cell>
          <cell r="U238" t="str">
            <v>N/A</v>
          </cell>
          <cell r="V238" t="str">
            <v>SI</v>
          </cell>
          <cell r="W238" t="str">
            <v>SI</v>
          </cell>
          <cell r="Y238" t="str">
            <v>Gobierno de Navarra Tecnólogos 2020</v>
          </cell>
          <cell r="Z238" t="str">
            <v>Sí, la patente prevista es europea</v>
          </cell>
          <cell r="AA238" t="str">
            <v>Sí, la patente prevista es europea</v>
          </cell>
          <cell r="AB238" t="str">
            <v>No, no tenemos prevista publicación</v>
          </cell>
          <cell r="AC238" t="str">
            <v>No, no tenemos prevista publicación</v>
          </cell>
          <cell r="AD238" t="str">
            <v>False</v>
          </cell>
        </row>
        <row r="239">
          <cell r="A239" t="str">
            <v>0011-1365-2020-000238</v>
          </cell>
          <cell r="B239" t="str">
            <v>NUEVO SISTEMA DE GESTIÓN DE SECRETOS EMPRESARIALES BASADO EN BLOCKCHAIN (SGS)</v>
          </cell>
          <cell r="C239">
            <v>276568.5</v>
          </cell>
          <cell r="D239">
            <v>43922</v>
          </cell>
          <cell r="E239">
            <v>44651</v>
          </cell>
          <cell r="F239" t="str">
            <v>marta.iraneta@conasa.es</v>
          </cell>
          <cell r="G239" t="str">
            <v>Automoción y mecatrónica</v>
          </cell>
          <cell r="H239" t="str">
            <v>Automoción y mecatrónica</v>
          </cell>
          <cell r="I239" t="str">
            <v>Tic</v>
          </cell>
          <cell r="J239" t="str">
            <v>Tic</v>
          </cell>
          <cell r="K239" t="str">
            <v>Transformación 4.0 de la industria navarra</v>
          </cell>
          <cell r="L239" t="str">
            <v>Transformación 4.0 de la industria navarra</v>
          </cell>
          <cell r="M239" t="str">
            <v>Empresa</v>
          </cell>
          <cell r="N239" t="str">
            <v>Empresa</v>
          </cell>
          <cell r="O239" t="str">
            <v>Grande</v>
          </cell>
          <cell r="P239" t="str">
            <v>Grande</v>
          </cell>
          <cell r="Q239" t="str">
            <v>Cooperativo</v>
          </cell>
          <cell r="R239" t="str">
            <v>Cooperativo</v>
          </cell>
          <cell r="S239" t="str">
            <v>NO</v>
          </cell>
          <cell r="T239" t="str">
            <v>NO</v>
          </cell>
          <cell r="U239" t="str">
            <v>no procede</v>
          </cell>
          <cell r="V239" t="str">
            <v>NO</v>
          </cell>
          <cell r="W239" t="str">
            <v>NO</v>
          </cell>
          <cell r="Z239" t="str">
            <v>Sí, la patente prevista es europea</v>
          </cell>
          <cell r="AA239" t="str">
            <v>Sí, la patente prevista es europea</v>
          </cell>
          <cell r="AB239" t="str">
            <v>No, no tenemos prevista publicación</v>
          </cell>
          <cell r="AC239" t="str">
            <v>No, no tenemos prevista publicación</v>
          </cell>
          <cell r="AD239" t="str">
            <v>False</v>
          </cell>
        </row>
        <row r="240">
          <cell r="A240" t="str">
            <v>0011-1365-2020-000239</v>
          </cell>
          <cell r="B240" t="str">
            <v>ARCA: Desarrollo de generador solar fotovoltaico con almacenamiento de energía para abastecimiento energético y comunicación en localizaciones aisladas bajo condiciones extremas.</v>
          </cell>
          <cell r="C240">
            <v>217320.2</v>
          </cell>
          <cell r="D240">
            <v>43922</v>
          </cell>
          <cell r="E240">
            <v>44650</v>
          </cell>
          <cell r="F240" t="str">
            <v>info@iedelectronics.com</v>
          </cell>
          <cell r="G240" t="str">
            <v>Energías renovables y recursos</v>
          </cell>
          <cell r="H240" t="str">
            <v>Energías renovables y recursos</v>
          </cell>
          <cell r="I240" t="str">
            <v>Tic</v>
          </cell>
          <cell r="J240" t="str">
            <v>Tic</v>
          </cell>
          <cell r="K240" t="str">
            <v>Disminución del consumo de energías fósiles</v>
          </cell>
          <cell r="L240" t="str">
            <v>Disminución del consumo de energías fósiles</v>
          </cell>
          <cell r="M240" t="str">
            <v>Empresa</v>
          </cell>
          <cell r="N240" t="str">
            <v>Empresa</v>
          </cell>
          <cell r="O240" t="str">
            <v>Pequeña</v>
          </cell>
          <cell r="P240" t="str">
            <v>Pequeña</v>
          </cell>
          <cell r="Q240" t="str">
            <v>Cooperativo</v>
          </cell>
          <cell r="R240" t="str">
            <v>Cooperativo</v>
          </cell>
          <cell r="S240" t="str">
            <v>SI</v>
          </cell>
          <cell r="T240" t="str">
            <v>SI</v>
          </cell>
          <cell r="U240" t="str">
            <v xml:space="preserve"> 15­A­264­00061071 </v>
          </cell>
          <cell r="V240" t="str">
            <v>SI</v>
          </cell>
          <cell r="W240" t="str">
            <v>SI</v>
          </cell>
          <cell r="X240">
            <v>43920</v>
          </cell>
          <cell r="Y240" t="str">
            <v>CDTI PID</v>
          </cell>
          <cell r="Z240" t="str">
            <v>Sí, la patente prevista es europea</v>
          </cell>
          <cell r="AA240" t="str">
            <v>Sí, la patente prevista es europea</v>
          </cell>
          <cell r="AB240" t="str">
            <v>No, no tenemos prevista publicación</v>
          </cell>
          <cell r="AC240" t="str">
            <v>No, no tenemos prevista publicación</v>
          </cell>
          <cell r="AD240" t="str">
            <v>False</v>
          </cell>
        </row>
        <row r="241">
          <cell r="A241" t="str">
            <v>0011-1365-2020-000240</v>
          </cell>
          <cell r="B241" t="str">
            <v>NUEVO CAJON PORTAOBJETOS PARA SEMIRREMOLQUES</v>
          </cell>
          <cell r="C241">
            <v>254528</v>
          </cell>
          <cell r="D241">
            <v>43922</v>
          </cell>
          <cell r="E241">
            <v>44651</v>
          </cell>
          <cell r="F241" t="str">
            <v>amparo@arrietaasociados.com</v>
          </cell>
          <cell r="G241" t="str">
            <v>Otros</v>
          </cell>
          <cell r="H241" t="str">
            <v>Otros</v>
          </cell>
          <cell r="I241" t="str">
            <v>Otros</v>
          </cell>
          <cell r="J241" t="str">
            <v>Otros</v>
          </cell>
          <cell r="K241" t="str">
            <v>Otros</v>
          </cell>
          <cell r="L241" t="str">
            <v>Otros</v>
          </cell>
          <cell r="M241" t="str">
            <v>Empresa</v>
          </cell>
          <cell r="N241" t="str">
            <v>Empresa</v>
          </cell>
          <cell r="O241" t="str">
            <v>Mediana</v>
          </cell>
          <cell r="P241" t="str">
            <v>Mediana</v>
          </cell>
          <cell r="Q241" t="str">
            <v>Individual</v>
          </cell>
          <cell r="R241" t="str">
            <v>Individual</v>
          </cell>
          <cell r="S241" t="str">
            <v>SI</v>
          </cell>
          <cell r="T241" t="str">
            <v>SI</v>
          </cell>
          <cell r="V241" t="str">
            <v>NO</v>
          </cell>
          <cell r="W241" t="str">
            <v>NO</v>
          </cell>
          <cell r="X241">
            <v>43900</v>
          </cell>
          <cell r="Z241" t="str">
            <v>No, no tenemos intención de patentar</v>
          </cell>
          <cell r="AA241" t="str">
            <v>No, no tenemos intención de patentar</v>
          </cell>
          <cell r="AB241" t="str">
            <v>No, no tenemos prevista publicación</v>
          </cell>
          <cell r="AC241" t="str">
            <v>No, no tenemos prevista publicación</v>
          </cell>
          <cell r="AD241" t="str">
            <v>False</v>
          </cell>
        </row>
        <row r="242">
          <cell r="A242" t="str">
            <v>0011-1365-2020-000241</v>
          </cell>
          <cell r="B242" t="str">
            <v>NUEVO SISTEMA DE GESTIÓN DE SECRETOS EMPRESARIALES BASADO EN BLOCKCHAIN (SGS)</v>
          </cell>
          <cell r="C242">
            <v>284000</v>
          </cell>
          <cell r="D242">
            <v>43922</v>
          </cell>
          <cell r="E242">
            <v>44651</v>
          </cell>
          <cell r="F242" t="str">
            <v>pamplona.administracion@ecija.com</v>
          </cell>
          <cell r="G242" t="str">
            <v>Automoción y mecatrónica</v>
          </cell>
          <cell r="H242" t="str">
            <v>Automoción y mecatrónica</v>
          </cell>
          <cell r="I242" t="str">
            <v>Tic</v>
          </cell>
          <cell r="J242" t="str">
            <v>Tic</v>
          </cell>
          <cell r="K242" t="str">
            <v>Transformación 4.0 de la industria navarra</v>
          </cell>
          <cell r="L242" t="str">
            <v>Transformación 4.0 de la industria navarra</v>
          </cell>
          <cell r="M242" t="str">
            <v>Empresa</v>
          </cell>
          <cell r="N242" t="str">
            <v>Empresa</v>
          </cell>
          <cell r="O242" t="str">
            <v>Pequeña</v>
          </cell>
          <cell r="P242" t="str">
            <v>Pequeña</v>
          </cell>
          <cell r="Q242" t="str">
            <v>Cooperativo</v>
          </cell>
          <cell r="R242" t="str">
            <v>Cooperativo</v>
          </cell>
          <cell r="S242" t="str">
            <v>NO</v>
          </cell>
          <cell r="T242" t="str">
            <v>NO</v>
          </cell>
          <cell r="U242" t="str">
            <v>no procede</v>
          </cell>
          <cell r="V242" t="str">
            <v>NO</v>
          </cell>
          <cell r="W242" t="str">
            <v>NO</v>
          </cell>
          <cell r="Z242" t="str">
            <v>Sí, la patente prevista es europea</v>
          </cell>
          <cell r="AA242" t="str">
            <v>Sí, la patente prevista es europea</v>
          </cell>
          <cell r="AB242" t="str">
            <v>No, no tenemos prevista publicación</v>
          </cell>
          <cell r="AC242" t="str">
            <v>No, no tenemos prevista publicación</v>
          </cell>
          <cell r="AD242" t="str">
            <v>False</v>
          </cell>
        </row>
        <row r="243">
          <cell r="A243" t="str">
            <v>0011-1365-2020-000242</v>
          </cell>
          <cell r="B243" t="str">
            <v>DESARROLLO DE PRODUCTOS DE UN SOLO USO A PARTIR DE UN RESIDUO ORGANICO Y COMPOSTABLE-BIOMat</v>
          </cell>
          <cell r="C243">
            <v>219958</v>
          </cell>
          <cell r="D243">
            <v>43922</v>
          </cell>
          <cell r="E243">
            <v>44651</v>
          </cell>
          <cell r="F243" t="str">
            <v>info@gelatinasogi.com</v>
          </cell>
          <cell r="G243" t="str">
            <v>Energías renovables y recursos</v>
          </cell>
          <cell r="H243" t="str">
            <v>Energías renovables y recursos</v>
          </cell>
          <cell r="I243" t="str">
            <v>Manufactura avanzada</v>
          </cell>
          <cell r="J243" t="str">
            <v>Manufactura avanzada</v>
          </cell>
          <cell r="K243" t="str">
            <v>Promover la economía circular</v>
          </cell>
          <cell r="L243" t="str">
            <v>Promover la economía circular</v>
          </cell>
          <cell r="M243" t="str">
            <v>Empresa</v>
          </cell>
          <cell r="N243" t="str">
            <v>Empresa</v>
          </cell>
          <cell r="O243" t="str">
            <v>Pequeña</v>
          </cell>
          <cell r="P243" t="str">
            <v>Pequeña</v>
          </cell>
          <cell r="Q243" t="str">
            <v>Individual</v>
          </cell>
          <cell r="R243" t="str">
            <v>Individual</v>
          </cell>
          <cell r="S243" t="str">
            <v>SI</v>
          </cell>
          <cell r="T243" t="str">
            <v>SI</v>
          </cell>
          <cell r="U243" t="str">
            <v>DIVISION: A  ACTIVIDAD: 15-A-20500009840</v>
          </cell>
          <cell r="V243" t="str">
            <v>NO</v>
          </cell>
          <cell r="W243" t="str">
            <v>NO</v>
          </cell>
          <cell r="Z243" t="str">
            <v>No, no tenemos intención de patentar</v>
          </cell>
          <cell r="AA243" t="str">
            <v>No, no tenemos intención de patentar</v>
          </cell>
          <cell r="AB243" t="str">
            <v>No, no tenemos prevista publicación</v>
          </cell>
          <cell r="AC243" t="str">
            <v>No, no tenemos prevista publicación</v>
          </cell>
          <cell r="AD243" t="str">
            <v>False</v>
          </cell>
        </row>
        <row r="244">
          <cell r="A244" t="str">
            <v>0011-1365-2020-000243</v>
          </cell>
          <cell r="B244" t="str">
            <v>INFLUENCIA DE LA DIVERSIDAD Y LA COMPOSICIÓN DE LA MICROBIOTA EN EL DESARROLLO DE HÍGADO GRASO PEDIÁTRICO: IDENTIFICACIÓN DE BIOMARCADORES y DESARROLLO DE TERAPIA PERSONALIZADA: PROYECTO MICROKID</v>
          </cell>
          <cell r="C244">
            <v>29100.59</v>
          </cell>
          <cell r="D244">
            <v>44075</v>
          </cell>
          <cell r="E244">
            <v>44651</v>
          </cell>
          <cell r="F244" t="str">
            <v>fmiguels@navarra.es</v>
          </cell>
          <cell r="G244" t="str">
            <v>Salud</v>
          </cell>
          <cell r="H244" t="str">
            <v>Salud</v>
          </cell>
          <cell r="I244" t="str">
            <v>Biotecnología</v>
          </cell>
          <cell r="J244" t="str">
            <v>Biotecnología</v>
          </cell>
          <cell r="K244" t="str">
            <v>Desarrollo de la medicina personalizada</v>
          </cell>
          <cell r="L244" t="str">
            <v>Desarrollo de la medicina personalizada</v>
          </cell>
          <cell r="M244" t="str">
            <v>Organismo de investigación</v>
          </cell>
          <cell r="N244" t="str">
            <v>Organismo de investigación</v>
          </cell>
          <cell r="O244" t="str">
            <v>Organismo de investigación</v>
          </cell>
          <cell r="P244" t="str">
            <v>Organismo de investigación</v>
          </cell>
          <cell r="Q244" t="str">
            <v>Transferencia del conocimiento</v>
          </cell>
          <cell r="R244" t="str">
            <v>Transferencia del conocimiento</v>
          </cell>
          <cell r="S244" t="str">
            <v>NO</v>
          </cell>
          <cell r="T244" t="str">
            <v>NO</v>
          </cell>
          <cell r="U244" t="str">
            <v>Inscrito en el Registro de Fundaciones, nº10</v>
          </cell>
          <cell r="V244" t="str">
            <v>NO</v>
          </cell>
          <cell r="W244" t="str">
            <v>NO</v>
          </cell>
          <cell r="Z244" t="str">
            <v>No, no tenemos intención de patentar</v>
          </cell>
          <cell r="AA244" t="str">
            <v>No, no tenemos intención de patentar</v>
          </cell>
          <cell r="AB244" t="str">
            <v>Sí, la publicación prevista es en revista científica</v>
          </cell>
          <cell r="AC244" t="str">
            <v>Sí, la publicación prevista es en revista científica</v>
          </cell>
          <cell r="AD244" t="str">
            <v>False</v>
          </cell>
        </row>
        <row r="245">
          <cell r="A245" t="str">
            <v>0011-1365-2020-000244</v>
          </cell>
          <cell r="B245" t="str">
            <v>Plataforma de movilidad  Omnidireccional personalizable para vehículos eléctricos urbanos que incorpora tracción, dirección, suspensión y freno independientes en cada córner: OMNISTEERING</v>
          </cell>
          <cell r="C245">
            <v>293930</v>
          </cell>
          <cell r="D245">
            <v>43922</v>
          </cell>
          <cell r="E245">
            <v>44561</v>
          </cell>
          <cell r="F245" t="str">
            <v>management@ntdd.es</v>
          </cell>
          <cell r="G245" t="str">
            <v>Automoción y mecatrónica</v>
          </cell>
          <cell r="H245" t="str">
            <v>Automoción y mecatrónica</v>
          </cell>
          <cell r="I245" t="str">
            <v>Manufactura avanzada</v>
          </cell>
          <cell r="J245" t="str">
            <v>Manufactura avanzada</v>
          </cell>
          <cell r="K245" t="str">
            <v>Impulso del vehículo eléctrico</v>
          </cell>
          <cell r="L245" t="str">
            <v>Impulso del vehículo eléctrico</v>
          </cell>
          <cell r="M245" t="str">
            <v>Empresa</v>
          </cell>
          <cell r="N245" t="str">
            <v>Empresa</v>
          </cell>
          <cell r="O245" t="str">
            <v>Pequeña</v>
          </cell>
          <cell r="P245" t="str">
            <v>Pequeña</v>
          </cell>
          <cell r="Q245" t="str">
            <v>Individual</v>
          </cell>
          <cell r="R245" t="str">
            <v>Individual</v>
          </cell>
          <cell r="S245" t="str">
            <v>SI</v>
          </cell>
          <cell r="T245" t="str">
            <v>SI</v>
          </cell>
          <cell r="V245" t="str">
            <v>SI</v>
          </cell>
          <cell r="W245" t="str">
            <v>SI</v>
          </cell>
          <cell r="X245">
            <v>43900</v>
          </cell>
          <cell r="Y245" t="str">
            <v>CDTI Proyectos Individuales</v>
          </cell>
          <cell r="Z245" t="str">
            <v>Sí, la patente prevista es europea</v>
          </cell>
          <cell r="AA245" t="str">
            <v>Sí, la patente prevista es europea</v>
          </cell>
          <cell r="AB245" t="str">
            <v>No, no tenemos prevista publicación</v>
          </cell>
          <cell r="AC245" t="str">
            <v>No, no tenemos prevista publicación</v>
          </cell>
          <cell r="AD245" t="str">
            <v>True</v>
          </cell>
        </row>
        <row r="246">
          <cell r="A246" t="str">
            <v>0011-1365-2020-000245</v>
          </cell>
          <cell r="B246" t="str">
            <v>DESARROLLO DE TUBOS NORMALIZADOS DE ALTO VALOR AÑADIDO MEDIANTE INNOVADORES MÉTODOS DE COMPATIBILIDAD Y ESTIRABILIDAD</v>
          </cell>
          <cell r="C246">
            <v>211935.35</v>
          </cell>
          <cell r="D246">
            <v>43922</v>
          </cell>
          <cell r="E246">
            <v>44651</v>
          </cell>
          <cell r="F246" t="str">
            <v>igarciav@zalain.condesa.com</v>
          </cell>
          <cell r="G246" t="str">
            <v>Automoción y mecatrónica</v>
          </cell>
          <cell r="H246" t="str">
            <v>Automoción y mecatrónica</v>
          </cell>
          <cell r="I246" t="str">
            <v>Manufactura avanzada</v>
          </cell>
          <cell r="J246" t="str">
            <v>Manufactura avanzada</v>
          </cell>
          <cell r="K246" t="str">
            <v>Transformación 4.0 de la industria navarra</v>
          </cell>
          <cell r="L246" t="str">
            <v>Transformación 4.0 de la industria navarra</v>
          </cell>
          <cell r="M246" t="str">
            <v>Empresa</v>
          </cell>
          <cell r="N246" t="str">
            <v>Empresa</v>
          </cell>
          <cell r="O246" t="str">
            <v>Grande</v>
          </cell>
          <cell r="P246" t="str">
            <v>Grande</v>
          </cell>
          <cell r="Q246" t="str">
            <v>Transferencia del conocimiento</v>
          </cell>
          <cell r="R246" t="str">
            <v>Transferencia del conocimiento</v>
          </cell>
          <cell r="S246" t="str">
            <v>SI</v>
          </cell>
          <cell r="T246" t="str">
            <v>SI</v>
          </cell>
          <cell r="U246" t="str">
            <v>15-A-242-00012236</v>
          </cell>
          <cell r="V246" t="str">
            <v>NO</v>
          </cell>
          <cell r="W246" t="str">
            <v>NO</v>
          </cell>
          <cell r="Z246" t="str">
            <v>No, no tenemos intención de patentar</v>
          </cell>
          <cell r="AA246" t="str">
            <v>No, no tenemos intención de patentar</v>
          </cell>
          <cell r="AB246" t="str">
            <v>Sí, la publicación prevista es en revista científica q1</v>
          </cell>
          <cell r="AC246" t="str">
            <v>Sí, la publicación prevista es en revista científica q1</v>
          </cell>
          <cell r="AD246" t="str">
            <v>False</v>
          </cell>
        </row>
        <row r="247">
          <cell r="A247" t="str">
            <v>0011-1365-2020-000246</v>
          </cell>
          <cell r="B247" t="str">
            <v>ESTUDIO Y DESARROLLO DE TECNOLOGÍAS NO INVASIVAS PARA LA HIGIENIZACIÓN EN LA INDUSTRIA AGROALIMENTARIA</v>
          </cell>
          <cell r="C247">
            <v>88021.23</v>
          </cell>
          <cell r="D247">
            <v>44013</v>
          </cell>
          <cell r="E247">
            <v>44561</v>
          </cell>
          <cell r="F247" t="str">
            <v>lmartinez@cnta.es</v>
          </cell>
          <cell r="G247" t="str">
            <v>Cadena alimentaria</v>
          </cell>
          <cell r="H247" t="str">
            <v>Cadena alimentaria</v>
          </cell>
          <cell r="I247" t="str">
            <v>Biotecnología</v>
          </cell>
          <cell r="J247" t="str">
            <v>Biotecnología</v>
          </cell>
          <cell r="K247" t="str">
            <v>Vertebrar la cadena de valor alimentaria</v>
          </cell>
          <cell r="L247" t="str">
            <v>Vertebrar la cadena de valor alimentaria</v>
          </cell>
          <cell r="M247" t="str">
            <v>Organismo de investigación</v>
          </cell>
          <cell r="N247" t="str">
            <v>Organismo de investigación</v>
          </cell>
          <cell r="O247" t="str">
            <v>Organismo de investigación</v>
          </cell>
          <cell r="P247" t="str">
            <v>Organismo de investigación</v>
          </cell>
          <cell r="Q247" t="str">
            <v>Transferencia del conocimiento</v>
          </cell>
          <cell r="R247" t="str">
            <v>Transferencia del conocimiento</v>
          </cell>
          <cell r="S247" t="str">
            <v>NO</v>
          </cell>
          <cell r="T247" t="str">
            <v>NO</v>
          </cell>
          <cell r="U247" t="str">
            <v>NO APLICA</v>
          </cell>
          <cell r="V247" t="str">
            <v>NO</v>
          </cell>
          <cell r="W247" t="str">
            <v>NO</v>
          </cell>
          <cell r="Z247" t="str">
            <v>No, no tenemos intención de patentar</v>
          </cell>
          <cell r="AA247" t="str">
            <v>No, no tenemos intención de patentar</v>
          </cell>
          <cell r="AB247" t="str">
            <v>Sí, la publicación prevista es en revista científica</v>
          </cell>
          <cell r="AC247" t="str">
            <v>Sí, la publicación prevista es en revista científica</v>
          </cell>
          <cell r="AD247" t="str">
            <v>False</v>
          </cell>
        </row>
        <row r="248">
          <cell r="A248" t="str">
            <v>0011-1365-2020-000247</v>
          </cell>
          <cell r="B248" t="str">
            <v>NUEVAS ESTRATEGIAS PARA OBTENER PLANTAS INJERTADAS DE VID DE CALIDAD SUPERIOR (BEST-FEET)</v>
          </cell>
          <cell r="C248">
            <v>140636</v>
          </cell>
          <cell r="D248">
            <v>43922</v>
          </cell>
          <cell r="E248">
            <v>44651</v>
          </cell>
          <cell r="F248" t="str">
            <v>viveros@vitisnavarra.com</v>
          </cell>
          <cell r="G248" t="str">
            <v>Cadena alimentaria</v>
          </cell>
          <cell r="H248" t="str">
            <v>Cadena alimentaria</v>
          </cell>
          <cell r="I248" t="str">
            <v>Biotecnología</v>
          </cell>
          <cell r="J248" t="str">
            <v>Biotecnología</v>
          </cell>
          <cell r="K248" t="str">
            <v>Vertebrar la cadena de valor alimentaria</v>
          </cell>
          <cell r="L248" t="str">
            <v>Vertebrar la cadena de valor alimentaria</v>
          </cell>
          <cell r="M248" t="str">
            <v>Empresa</v>
          </cell>
          <cell r="N248" t="str">
            <v>Empresa</v>
          </cell>
          <cell r="O248" t="str">
            <v>Pequeña</v>
          </cell>
          <cell r="P248" t="str">
            <v>Pequeña</v>
          </cell>
          <cell r="Q248" t="str">
            <v>Transferencia del conocimiento</v>
          </cell>
          <cell r="R248" t="str">
            <v>Transferencia del conocimiento</v>
          </cell>
          <cell r="S248" t="str">
            <v>NO</v>
          </cell>
          <cell r="T248" t="str">
            <v>NO</v>
          </cell>
          <cell r="V248" t="str">
            <v>NO</v>
          </cell>
          <cell r="W248" t="str">
            <v>NO</v>
          </cell>
          <cell r="Z248" t="str">
            <v>No, no tenemos intención de patentar</v>
          </cell>
          <cell r="AA248" t="str">
            <v>No, no tenemos intención de patentar</v>
          </cell>
          <cell r="AB248" t="str">
            <v>No, no tenemos prevista publicación</v>
          </cell>
          <cell r="AC248" t="str">
            <v>No, no tenemos prevista publicación</v>
          </cell>
          <cell r="AD248" t="str">
            <v>False</v>
          </cell>
        </row>
        <row r="249">
          <cell r="A249" t="str">
            <v>0011-1365-2020-000248</v>
          </cell>
          <cell r="B249" t="str">
            <v>DESARROLLO DE UNA MEZCLA TÉCNICA DE CAUCHO PARA SU USO EN CONDUCCIONES DE AGUA FRÍA POTABLE PARA REINO UNIDO</v>
          </cell>
          <cell r="C249">
            <v>119079.5</v>
          </cell>
          <cell r="D249">
            <v>43922</v>
          </cell>
          <cell r="E249">
            <v>44561</v>
          </cell>
          <cell r="F249" t="str">
            <v>unica@unicamezclas.com</v>
          </cell>
          <cell r="G249" t="str">
            <v>Energías renovables y recursos</v>
          </cell>
          <cell r="H249" t="str">
            <v>Energías renovables y recursos</v>
          </cell>
          <cell r="I249" t="str">
            <v>Otros</v>
          </cell>
          <cell r="J249" t="str">
            <v>Otros</v>
          </cell>
          <cell r="K249" t="str">
            <v>Promover la economía circular</v>
          </cell>
          <cell r="L249" t="str">
            <v>Promover la economía circular</v>
          </cell>
          <cell r="M249" t="str">
            <v>Empresa</v>
          </cell>
          <cell r="N249" t="str">
            <v>Empresa</v>
          </cell>
          <cell r="O249" t="str">
            <v>Grande</v>
          </cell>
          <cell r="P249" t="str">
            <v>Grande</v>
          </cell>
          <cell r="Q249" t="str">
            <v>Individual</v>
          </cell>
          <cell r="R249" t="str">
            <v>Individual</v>
          </cell>
          <cell r="S249" t="str">
            <v>SI</v>
          </cell>
          <cell r="T249" t="str">
            <v>SI</v>
          </cell>
          <cell r="U249" t="str">
            <v>15-A-221-00060809</v>
          </cell>
          <cell r="V249" t="str">
            <v>NO</v>
          </cell>
          <cell r="W249" t="str">
            <v>NO</v>
          </cell>
          <cell r="Z249" t="str">
            <v>No, no tenemos intención de patentar</v>
          </cell>
          <cell r="AA249" t="str">
            <v>No, no tenemos intención de patentar</v>
          </cell>
          <cell r="AB249" t="str">
            <v>No, no tenemos prevista publicación</v>
          </cell>
          <cell r="AC249" t="str">
            <v>No, no tenemos prevista publicación</v>
          </cell>
          <cell r="AD249" t="str">
            <v>False</v>
          </cell>
        </row>
        <row r="250">
          <cell r="A250" t="str">
            <v>0011-1365-2020-000249</v>
          </cell>
          <cell r="B250" t="str">
            <v>DESARROLLO DE FÓRMULAS NUTRICIONALES PARA POBLACIÓN PREDIABÉTICA BASADAS EN MICROORGANISMOS CON CAPACIDAD NORMOGLUCEMIANTE</v>
          </cell>
          <cell r="C250">
            <v>169626</v>
          </cell>
          <cell r="D250">
            <v>43922</v>
          </cell>
          <cell r="E250">
            <v>44651</v>
          </cell>
          <cell r="F250" t="str">
            <v>proyectos_id@unav.es</v>
          </cell>
          <cell r="G250" t="str">
            <v>Salud</v>
          </cell>
          <cell r="H250" t="str">
            <v>Salud</v>
          </cell>
          <cell r="I250" t="str">
            <v>Biotecnología</v>
          </cell>
          <cell r="J250" t="str">
            <v>Biotecnología</v>
          </cell>
          <cell r="K250" t="str">
            <v>Desarrollo de la medicina personalizada</v>
          </cell>
          <cell r="L250" t="str">
            <v>Desarrollo de la medicina personalizada</v>
          </cell>
          <cell r="M250" t="str">
            <v>Organismo de investigación</v>
          </cell>
          <cell r="N250" t="str">
            <v>Organismo de investigación</v>
          </cell>
          <cell r="O250" t="str">
            <v>Organismo de investigación</v>
          </cell>
          <cell r="P250" t="str">
            <v>Organismo de investigación</v>
          </cell>
          <cell r="Q250" t="str">
            <v>Transferencia del conocimiento</v>
          </cell>
          <cell r="R250" t="str">
            <v>Transferencia del conocimiento</v>
          </cell>
          <cell r="S250" t="str">
            <v>NO</v>
          </cell>
          <cell r="T250" t="str">
            <v>NO</v>
          </cell>
          <cell r="U250" t="str">
            <v>No aplica</v>
          </cell>
          <cell r="V250" t="str">
            <v>NO</v>
          </cell>
          <cell r="W250" t="str">
            <v>NO</v>
          </cell>
          <cell r="Z250" t="str">
            <v>No, no tenemos intención de patentar</v>
          </cell>
          <cell r="AA250" t="str">
            <v>No, no tenemos intención de patentar</v>
          </cell>
          <cell r="AB250" t="str">
            <v>Sí, la publicación prevista es en revista científica q1</v>
          </cell>
          <cell r="AC250" t="str">
            <v>Sí, la publicación prevista es en revista científica q1</v>
          </cell>
          <cell r="AD250" t="str">
            <v>False</v>
          </cell>
        </row>
        <row r="251">
          <cell r="A251" t="str">
            <v>0011-1365-2020-000250</v>
          </cell>
          <cell r="B251" t="str">
            <v>BEEF+ Carne saludable a través de la economía circular</v>
          </cell>
          <cell r="C251">
            <v>63535</v>
          </cell>
          <cell r="D251">
            <v>43922</v>
          </cell>
          <cell r="E251">
            <v>44651</v>
          </cell>
          <cell r="F251" t="str">
            <v>pjecheverria@trasa.es</v>
          </cell>
          <cell r="G251" t="str">
            <v>Cadena alimentaria</v>
          </cell>
          <cell r="H251" t="str">
            <v>Cadena alimentaria</v>
          </cell>
          <cell r="I251" t="str">
            <v>Biotecnología</v>
          </cell>
          <cell r="J251" t="str">
            <v>Biotecnología</v>
          </cell>
          <cell r="K251" t="str">
            <v>Vertebrar la cadena de valor alimentaria</v>
          </cell>
          <cell r="L251" t="str">
            <v>Vertebrar la cadena de valor alimentaria</v>
          </cell>
          <cell r="M251" t="str">
            <v>Empresa</v>
          </cell>
          <cell r="N251" t="str">
            <v>Empresa</v>
          </cell>
          <cell r="O251" t="str">
            <v>Pequeña</v>
          </cell>
          <cell r="P251" t="str">
            <v>Pequeña</v>
          </cell>
          <cell r="Q251" t="str">
            <v>Transferencia del conocimiento</v>
          </cell>
          <cell r="R251" t="str">
            <v>Transferencia del conocimiento</v>
          </cell>
          <cell r="S251" t="str">
            <v>SI</v>
          </cell>
          <cell r="T251" t="str">
            <v>SI</v>
          </cell>
          <cell r="V251" t="str">
            <v>NO</v>
          </cell>
          <cell r="W251" t="str">
            <v>NO</v>
          </cell>
          <cell r="Z251" t="str">
            <v>No, no tenemos intención de patentar</v>
          </cell>
          <cell r="AA251" t="str">
            <v>No, no tenemos intención de patentar</v>
          </cell>
          <cell r="AB251" t="str">
            <v>Sí, la publicación prevista es en revista científica q1</v>
          </cell>
          <cell r="AC251" t="str">
            <v>Sí, la publicación prevista es en revista científica q1</v>
          </cell>
          <cell r="AD251" t="str">
            <v>False</v>
          </cell>
        </row>
        <row r="252">
          <cell r="A252" t="str">
            <v>0011-1365-2020-000251</v>
          </cell>
          <cell r="B252" t="str">
            <v>Zero Defects Manufactoring in Smart Factories (ZDM-SF)</v>
          </cell>
          <cell r="C252">
            <v>177434.1</v>
          </cell>
          <cell r="D252">
            <v>43922</v>
          </cell>
          <cell r="E252">
            <v>44651</v>
          </cell>
          <cell r="F252" t="str">
            <v>josemaria.arratibel@ingeteam.com</v>
          </cell>
          <cell r="G252" t="str">
            <v>Energías renovables y recursos</v>
          </cell>
          <cell r="H252" t="str">
            <v>Energías renovables y recursos</v>
          </cell>
          <cell r="I252" t="str">
            <v>Manufactura avanzada</v>
          </cell>
          <cell r="J252" t="str">
            <v>Manufactura avanzada</v>
          </cell>
          <cell r="K252" t="str">
            <v>Transformación 4.0 de la industria navarra</v>
          </cell>
          <cell r="L252" t="str">
            <v>Transformación 4.0 de la industria navarra</v>
          </cell>
          <cell r="M252" t="str">
            <v>Empresa</v>
          </cell>
          <cell r="N252" t="str">
            <v>Empresa</v>
          </cell>
          <cell r="O252" t="str">
            <v>Grande</v>
          </cell>
          <cell r="P252" t="str">
            <v>Grande</v>
          </cell>
          <cell r="Q252" t="str">
            <v>Transferencia del conocimiento</v>
          </cell>
          <cell r="R252" t="str">
            <v>Transferencia del conocimiento</v>
          </cell>
          <cell r="S252" t="str">
            <v>SI</v>
          </cell>
          <cell r="T252" t="str">
            <v>SI</v>
          </cell>
          <cell r="U252" t="str">
            <v>15-B-B00-00060817</v>
          </cell>
          <cell r="V252" t="str">
            <v>NO</v>
          </cell>
          <cell r="W252" t="str">
            <v>NO</v>
          </cell>
          <cell r="Z252" t="str">
            <v>No, no tenemos intención de patentar</v>
          </cell>
          <cell r="AA252" t="str">
            <v>No, no tenemos intención de patentar</v>
          </cell>
          <cell r="AB252" t="str">
            <v>No, no tenemos prevista publicación</v>
          </cell>
          <cell r="AC252" t="str">
            <v>No, no tenemos prevista publicación</v>
          </cell>
          <cell r="AD252" t="str">
            <v>False</v>
          </cell>
        </row>
        <row r="253">
          <cell r="A253" t="str">
            <v>0011-1365-2020-000252</v>
          </cell>
          <cell r="B253" t="str">
            <v>PATOR: Investigación sobre tecnologías y procesos que mejoren la calidad y estabilidad organoléptica de las patas de pollo procesadas</v>
          </cell>
          <cell r="C253">
            <v>215452.5</v>
          </cell>
          <cell r="D253">
            <v>43922</v>
          </cell>
          <cell r="E253">
            <v>44286</v>
          </cell>
          <cell r="F253" t="str">
            <v>jgn@uvesa.es</v>
          </cell>
          <cell r="G253" t="str">
            <v>Cadena alimentaria</v>
          </cell>
          <cell r="H253" t="str">
            <v>Cadena alimentaria</v>
          </cell>
          <cell r="I253" t="str">
            <v>Otros</v>
          </cell>
          <cell r="J253" t="str">
            <v>Otros</v>
          </cell>
          <cell r="K253" t="str">
            <v>Vertebrar la cadena de valor alimentaria</v>
          </cell>
          <cell r="L253" t="str">
            <v>Vertebrar la cadena de valor alimentaria</v>
          </cell>
          <cell r="M253" t="str">
            <v>Empresa</v>
          </cell>
          <cell r="N253" t="str">
            <v>Empresa</v>
          </cell>
          <cell r="O253" t="str">
            <v>Grande</v>
          </cell>
          <cell r="P253" t="str">
            <v>Grande</v>
          </cell>
          <cell r="Q253" t="str">
            <v>Individual</v>
          </cell>
          <cell r="R253" t="str">
            <v>Individual</v>
          </cell>
          <cell r="S253" t="str">
            <v>SI</v>
          </cell>
          <cell r="T253" t="str">
            <v>SI</v>
          </cell>
          <cell r="V253" t="str">
            <v>NO</v>
          </cell>
          <cell r="W253" t="str">
            <v>NO</v>
          </cell>
          <cell r="Z253" t="str">
            <v>No, no tenemos intención de patentar</v>
          </cell>
          <cell r="AA253" t="str">
            <v>No, no tenemos intención de patentar</v>
          </cell>
          <cell r="AB253" t="str">
            <v>No, no tenemos prevista publicación</v>
          </cell>
          <cell r="AC253" t="str">
            <v>No, no tenemos prevista publicación</v>
          </cell>
          <cell r="AD253" t="str">
            <v>False</v>
          </cell>
        </row>
        <row r="254">
          <cell r="A254" t="str">
            <v>0011-1365-2020-000253</v>
          </cell>
          <cell r="B254" t="str">
            <v>Elaboración de nuevos alimentos ecológicos y funcionales mediante la extracción de biocompuestos activos a partir de subproductos de la fabricación de zumos y conservas(ECOFUN)</v>
          </cell>
          <cell r="C254">
            <v>168795</v>
          </cell>
          <cell r="D254">
            <v>43922</v>
          </cell>
          <cell r="E254">
            <v>44651</v>
          </cell>
          <cell r="F254" t="str">
            <v>administracion@navarrico.com</v>
          </cell>
          <cell r="G254" t="str">
            <v>Cadena alimentaria</v>
          </cell>
          <cell r="H254" t="str">
            <v>Cadena alimentaria</v>
          </cell>
          <cell r="I254" t="str">
            <v>Biotecnología</v>
          </cell>
          <cell r="J254" t="str">
            <v>Biotecnología</v>
          </cell>
          <cell r="K254" t="str">
            <v>Apuesta por la alimentación saludable</v>
          </cell>
          <cell r="L254" t="str">
            <v>Apuesta por la alimentación saludable</v>
          </cell>
          <cell r="M254" t="str">
            <v>Empresa</v>
          </cell>
          <cell r="N254" t="str">
            <v>Empresa</v>
          </cell>
          <cell r="O254" t="str">
            <v>Mediana</v>
          </cell>
          <cell r="P254" t="str">
            <v>Mediana</v>
          </cell>
          <cell r="Q254" t="str">
            <v>Cooperativo</v>
          </cell>
          <cell r="R254" t="str">
            <v>Cooperativo</v>
          </cell>
          <cell r="S254" t="str">
            <v>SI</v>
          </cell>
          <cell r="T254" t="str">
            <v>SI</v>
          </cell>
          <cell r="V254" t="str">
            <v>NO</v>
          </cell>
          <cell r="W254" t="str">
            <v>NO</v>
          </cell>
          <cell r="Z254" t="str">
            <v>No, no tenemos intención de patentar</v>
          </cell>
          <cell r="AA254" t="str">
            <v>No, no tenemos intención de patentar</v>
          </cell>
          <cell r="AB254" t="str">
            <v>No, no tenemos prevista publicación</v>
          </cell>
          <cell r="AC254" t="str">
            <v>No, no tenemos prevista publicación</v>
          </cell>
          <cell r="AD254" t="str">
            <v>False</v>
          </cell>
        </row>
        <row r="255">
          <cell r="A255" t="str">
            <v>0011-1365-2020-000254</v>
          </cell>
          <cell r="B255" t="str">
            <v>Sistema ciber físico de impresión digital 4.0</v>
          </cell>
          <cell r="C255">
            <v>215918</v>
          </cell>
          <cell r="D255">
            <v>43922</v>
          </cell>
          <cell r="E255">
            <v>44651</v>
          </cell>
          <cell r="F255" t="str">
            <v>administracion@binariadigital.com</v>
          </cell>
          <cell r="G255" t="str">
            <v>Automoción y mecatrónica</v>
          </cell>
          <cell r="H255" t="str">
            <v>Automoción y mecatrónica</v>
          </cell>
          <cell r="I255" t="str">
            <v>Tic</v>
          </cell>
          <cell r="J255" t="str">
            <v>Tic</v>
          </cell>
          <cell r="K255" t="str">
            <v>Transformación 4.0 de la industria navarra</v>
          </cell>
          <cell r="L255" t="str">
            <v>Transformación 4.0 de la industria navarra</v>
          </cell>
          <cell r="M255" t="str">
            <v>Empresa</v>
          </cell>
          <cell r="N255" t="str">
            <v>Empresa</v>
          </cell>
          <cell r="O255" t="str">
            <v>Pequeña</v>
          </cell>
          <cell r="P255" t="str">
            <v>Pequeña</v>
          </cell>
          <cell r="Q255" t="str">
            <v>Individual</v>
          </cell>
          <cell r="R255" t="str">
            <v>Individual</v>
          </cell>
          <cell r="S255" t="str">
            <v>SI</v>
          </cell>
          <cell r="T255" t="str">
            <v>SI</v>
          </cell>
          <cell r="V255" t="str">
            <v>NO</v>
          </cell>
          <cell r="W255" t="str">
            <v>NO</v>
          </cell>
          <cell r="Z255" t="str">
            <v>No, no tenemos intención de patentar</v>
          </cell>
          <cell r="AA255" t="str">
            <v>No, no tenemos intención de patentar</v>
          </cell>
          <cell r="AB255" t="str">
            <v>No, no tenemos prevista publicación</v>
          </cell>
          <cell r="AC255" t="str">
            <v>No, no tenemos prevista publicación</v>
          </cell>
          <cell r="AD255" t="str">
            <v>False</v>
          </cell>
        </row>
        <row r="256">
          <cell r="A256" t="str">
            <v>0011-1365-2020-000255</v>
          </cell>
          <cell r="B256" t="str">
            <v>DISEÑO Y DESARROLLO DE UN SISTEMA DE CONTROL DEL MECANIZADO DE EXTREMOS PARA GUÍAS DE ALTA VELOCIDAD</v>
          </cell>
          <cell r="C256">
            <v>299427.40000000002</v>
          </cell>
          <cell r="D256">
            <v>43922</v>
          </cell>
          <cell r="E256">
            <v>44651</v>
          </cell>
          <cell r="F256" t="str">
            <v>a.aguirre@saveragroup.com</v>
          </cell>
          <cell r="G256" t="str">
            <v>Automoción y mecatrónica</v>
          </cell>
          <cell r="H256" t="str">
            <v>Automoción y mecatrónica</v>
          </cell>
          <cell r="I256" t="str">
            <v>Manufactura avanzada</v>
          </cell>
          <cell r="J256" t="str">
            <v>Manufactura avanzada</v>
          </cell>
          <cell r="K256" t="str">
            <v>Transformación 4.0 de la industria navarra</v>
          </cell>
          <cell r="L256" t="str">
            <v>Transformación 4.0 de la industria navarra</v>
          </cell>
          <cell r="M256" t="str">
            <v>Empresa</v>
          </cell>
          <cell r="N256" t="str">
            <v>Empresa</v>
          </cell>
          <cell r="O256" t="str">
            <v>Grande</v>
          </cell>
          <cell r="P256" t="str">
            <v>Grande</v>
          </cell>
          <cell r="Q256" t="str">
            <v>Individual</v>
          </cell>
          <cell r="R256" t="str">
            <v>Individual</v>
          </cell>
          <cell r="S256" t="str">
            <v>SI</v>
          </cell>
          <cell r="T256" t="str">
            <v>SI</v>
          </cell>
          <cell r="U256" t="str">
            <v>15-A-282-00060462</v>
          </cell>
          <cell r="V256" t="str">
            <v>SI</v>
          </cell>
          <cell r="W256" t="str">
            <v>SI</v>
          </cell>
          <cell r="Y256" t="str">
            <v>CDTI PID</v>
          </cell>
          <cell r="Z256" t="str">
            <v>No, no tenemos intención de patentar</v>
          </cell>
          <cell r="AA256" t="str">
            <v>No, no tenemos intención de patentar</v>
          </cell>
          <cell r="AB256" t="str">
            <v>No, no tenemos prevista publicación</v>
          </cell>
          <cell r="AC256" t="str">
            <v>No, no tenemos prevista publicación</v>
          </cell>
          <cell r="AD256" t="str">
            <v>False</v>
          </cell>
        </row>
        <row r="257">
          <cell r="A257" t="str">
            <v>0011-1365-2020-000256</v>
          </cell>
          <cell r="B257" t="str">
            <v>ARCA: Desarrollo de generador solar fotovoltaico con almacenamiento de energía para abastecimiento energético y comunicación en localizaciones aisladas bajo condiciones extremas.</v>
          </cell>
          <cell r="C257">
            <v>345050</v>
          </cell>
          <cell r="D257">
            <v>43922</v>
          </cell>
          <cell r="E257">
            <v>44650</v>
          </cell>
          <cell r="F257" t="str">
            <v>jjsuberviola@solartia.com</v>
          </cell>
          <cell r="G257" t="str">
            <v>Energías renovables y recursos</v>
          </cell>
          <cell r="H257" t="str">
            <v>Energías renovables y recursos</v>
          </cell>
          <cell r="I257" t="str">
            <v>Tic</v>
          </cell>
          <cell r="J257" t="str">
            <v>Tic</v>
          </cell>
          <cell r="K257" t="str">
            <v>Disminución del consumo de energías fósiles</v>
          </cell>
          <cell r="L257" t="str">
            <v>Disminución del consumo de energías fósiles</v>
          </cell>
          <cell r="M257" t="str">
            <v>Empresa</v>
          </cell>
          <cell r="N257" t="str">
            <v>Empresa</v>
          </cell>
          <cell r="O257" t="str">
            <v>Pequeña</v>
          </cell>
          <cell r="P257" t="str">
            <v>Pequeña</v>
          </cell>
          <cell r="Q257" t="str">
            <v>Cooperativo</v>
          </cell>
          <cell r="R257" t="str">
            <v>Cooperativo</v>
          </cell>
          <cell r="S257" t="str">
            <v>NO</v>
          </cell>
          <cell r="T257" t="str">
            <v>NO</v>
          </cell>
          <cell r="U257" t="str">
            <v>N/A</v>
          </cell>
          <cell r="V257" t="str">
            <v>SI</v>
          </cell>
          <cell r="W257" t="str">
            <v>SI</v>
          </cell>
          <cell r="X257" t="str">
            <v>06/03/2020 30/03/2020</v>
          </cell>
          <cell r="Y257" t="str">
            <v>GN Tecnologos 2020/CDTI PID</v>
          </cell>
          <cell r="Z257" t="str">
            <v>Sí, la patente prevista es europea</v>
          </cell>
          <cell r="AA257" t="str">
            <v>Sí, la patente prevista es europea</v>
          </cell>
          <cell r="AB257" t="str">
            <v>No, no tenemos prevista publicación</v>
          </cell>
          <cell r="AC257" t="str">
            <v>No, no tenemos prevista publicación</v>
          </cell>
          <cell r="AD257" t="str">
            <v>False</v>
          </cell>
        </row>
        <row r="258">
          <cell r="A258" t="str">
            <v>0011-1365-2020-000257</v>
          </cell>
          <cell r="B258" t="str">
            <v>Diseño y desarrollo de un sistema constructivo completo e industrializable en madera con Lignumstrand, con mínima huella de carbono, herramienta de cálculo y muestra en obra.</v>
          </cell>
          <cell r="C258">
            <v>36157</v>
          </cell>
          <cell r="D258">
            <v>43922</v>
          </cell>
          <cell r="E258">
            <v>44286</v>
          </cell>
          <cell r="F258" t="str">
            <v>o.saldisere@tabsal.com</v>
          </cell>
          <cell r="G258" t="str">
            <v>Energías renovables y recursos</v>
          </cell>
          <cell r="H258" t="str">
            <v>Energías renovables y recursos</v>
          </cell>
          <cell r="I258" t="str">
            <v>Otros</v>
          </cell>
          <cell r="J258" t="str">
            <v>Otros</v>
          </cell>
          <cell r="K258" t="str">
            <v>Promover la economía circular</v>
          </cell>
          <cell r="L258" t="str">
            <v>Promover la economía circular</v>
          </cell>
          <cell r="M258" t="str">
            <v>Empresa</v>
          </cell>
          <cell r="N258" t="str">
            <v>Empresa</v>
          </cell>
          <cell r="O258" t="str">
            <v>Pequeña</v>
          </cell>
          <cell r="P258" t="str">
            <v>Pequeña</v>
          </cell>
          <cell r="Q258" t="str">
            <v>Transferencia del conocimiento</v>
          </cell>
          <cell r="R258" t="str">
            <v>Transferencia del conocimiento</v>
          </cell>
          <cell r="S258" t="str">
            <v>SI</v>
          </cell>
          <cell r="T258" t="str">
            <v>SI</v>
          </cell>
          <cell r="U258" t="str">
            <v>15-A-162-00061018</v>
          </cell>
          <cell r="V258" t="str">
            <v>NO</v>
          </cell>
          <cell r="W258" t="str">
            <v>NO</v>
          </cell>
          <cell r="Z258" t="str">
            <v>No, no tenemos intención de patentar</v>
          </cell>
          <cell r="AA258" t="str">
            <v>No, no tenemos intención de patentar</v>
          </cell>
          <cell r="AB258" t="str">
            <v>Sí, la publicación prevista es en revista científica</v>
          </cell>
          <cell r="AC258" t="str">
            <v>Sí, la publicación prevista es en revista científica</v>
          </cell>
          <cell r="AD258" t="str">
            <v>False</v>
          </cell>
        </row>
        <row r="259">
          <cell r="A259" t="str">
            <v>0011-1365-2020-000258</v>
          </cell>
          <cell r="B259" t="str">
            <v>GENERACIÓN DE CONOCIMIENTO USABLE A TRAVÉS DEL ANÁLISIS DE INTERACCIONES LINGÜÍSTICAS CON CLIENTES</v>
          </cell>
          <cell r="C259">
            <v>191184</v>
          </cell>
          <cell r="D259">
            <v>43922</v>
          </cell>
          <cell r="E259">
            <v>44561</v>
          </cell>
          <cell r="F259" t="str">
            <v>rafaz@cyc.es</v>
          </cell>
          <cell r="G259" t="str">
            <v>Automoción y mecatrónica</v>
          </cell>
          <cell r="H259" t="str">
            <v>Automoción y mecatrónica</v>
          </cell>
          <cell r="I259" t="str">
            <v>Tic</v>
          </cell>
          <cell r="J259" t="str">
            <v>Tic</v>
          </cell>
          <cell r="K259" t="str">
            <v>Transformación 4.0 de la industria navarra</v>
          </cell>
          <cell r="L259" t="str">
            <v>Transformación 4.0 de la industria navarra</v>
          </cell>
          <cell r="M259" t="str">
            <v>Empresa</v>
          </cell>
          <cell r="N259" t="str">
            <v>Empresa</v>
          </cell>
          <cell r="O259" t="str">
            <v>Mediana</v>
          </cell>
          <cell r="P259" t="str">
            <v>Mediana</v>
          </cell>
          <cell r="Q259" t="str">
            <v>Individual</v>
          </cell>
          <cell r="R259" t="str">
            <v>Individual</v>
          </cell>
          <cell r="S259" t="str">
            <v>NO</v>
          </cell>
          <cell r="T259" t="str">
            <v>NO</v>
          </cell>
          <cell r="U259" t="str">
            <v>no procede</v>
          </cell>
          <cell r="V259" t="str">
            <v>NO</v>
          </cell>
          <cell r="W259" t="str">
            <v>NO</v>
          </cell>
          <cell r="Z259" t="str">
            <v>No, no tenemos intención de patentar</v>
          </cell>
          <cell r="AA259" t="str">
            <v>No, no tenemos intención de patentar</v>
          </cell>
          <cell r="AB259" t="str">
            <v>No, no tenemos prevista publicación</v>
          </cell>
          <cell r="AC259" t="str">
            <v>No, no tenemos prevista publicación</v>
          </cell>
          <cell r="AD259" t="str">
            <v>False</v>
          </cell>
        </row>
        <row r="260">
          <cell r="A260" t="str">
            <v>0011-1365-2020-000259</v>
          </cell>
          <cell r="B260" t="str">
            <v>NUEVO CAJONPORTAOBJETOS PARA SEMIRREMOLQUES</v>
          </cell>
          <cell r="C260">
            <v>254528</v>
          </cell>
          <cell r="D260">
            <v>43922</v>
          </cell>
          <cell r="E260">
            <v>44651</v>
          </cell>
          <cell r="F260" t="str">
            <v>jmalonso@modelmetal.es</v>
          </cell>
          <cell r="G260" t="str">
            <v>Automoción y mecatrónica</v>
          </cell>
          <cell r="H260" t="str">
            <v>Automoción y mecatrónica</v>
          </cell>
          <cell r="I260" t="str">
            <v>Manufactura avanzada</v>
          </cell>
          <cell r="J260" t="str">
            <v>Manufactura avanzada</v>
          </cell>
          <cell r="K260" t="str">
            <v>Transformación 4.0 de la industria navarra</v>
          </cell>
          <cell r="L260" t="str">
            <v>Transformación 4.0 de la industria navarra</v>
          </cell>
          <cell r="M260" t="str">
            <v>Empresa</v>
          </cell>
          <cell r="N260" t="str">
            <v>Empresa</v>
          </cell>
          <cell r="O260" t="str">
            <v>Mediana</v>
          </cell>
          <cell r="P260" t="str">
            <v>Mediana</v>
          </cell>
          <cell r="Q260" t="str">
            <v>Individual</v>
          </cell>
          <cell r="R260" t="str">
            <v>Individual</v>
          </cell>
          <cell r="S260" t="str">
            <v>SI</v>
          </cell>
          <cell r="T260" t="str">
            <v>SI</v>
          </cell>
          <cell r="V260" t="str">
            <v>NO</v>
          </cell>
          <cell r="W260" t="str">
            <v>NO</v>
          </cell>
          <cell r="Z260" t="str">
            <v>No, no tenemos intención de patentar</v>
          </cell>
          <cell r="AA260" t="str">
            <v>No, no tenemos intención de patentar</v>
          </cell>
          <cell r="AC260" t="str">
            <v>Seleccionar...</v>
          </cell>
          <cell r="AD260" t="str">
            <v>True</v>
          </cell>
        </row>
        <row r="261">
          <cell r="A261" t="str">
            <v>0011-1365-2020-000260</v>
          </cell>
          <cell r="B261" t="str">
            <v>Elaboración de nuevos alimentos ecológicos y funcionales mediante la extracción de biocompuestos activos a partir de subproductos de la fabricación de zumos y conservas(ECOFUN)</v>
          </cell>
          <cell r="C261">
            <v>203678</v>
          </cell>
          <cell r="D261">
            <v>43922</v>
          </cell>
          <cell r="E261">
            <v>44651</v>
          </cell>
          <cell r="F261" t="str">
            <v>tamara@gumendi.es</v>
          </cell>
          <cell r="G261" t="str">
            <v>Cadena alimentaria</v>
          </cell>
          <cell r="H261" t="str">
            <v>Cadena alimentaria</v>
          </cell>
          <cell r="I261" t="str">
            <v>Biotecnología</v>
          </cell>
          <cell r="J261" t="str">
            <v>Biotecnología</v>
          </cell>
          <cell r="K261" t="str">
            <v>Apuesta por la alimentación saludable</v>
          </cell>
          <cell r="L261" t="str">
            <v>Apuesta por la alimentación saludable</v>
          </cell>
          <cell r="M261" t="str">
            <v>Empresa</v>
          </cell>
          <cell r="N261" t="str">
            <v>Empresa</v>
          </cell>
          <cell r="O261" t="str">
            <v>Mediana</v>
          </cell>
          <cell r="P261" t="str">
            <v>Mediana</v>
          </cell>
          <cell r="Q261" t="str">
            <v>Cooperativo</v>
          </cell>
          <cell r="R261" t="str">
            <v>Cooperativo</v>
          </cell>
          <cell r="S261" t="str">
            <v>SI</v>
          </cell>
          <cell r="T261" t="str">
            <v>SI</v>
          </cell>
          <cell r="V261" t="str">
            <v>NO</v>
          </cell>
          <cell r="W261" t="str">
            <v>NO</v>
          </cell>
          <cell r="Z261" t="str">
            <v>No, no tenemos intención de patentar</v>
          </cell>
          <cell r="AA261" t="str">
            <v>No, no tenemos intención de patentar</v>
          </cell>
          <cell r="AB261" t="str">
            <v>No, no tenemos prevista publicación</v>
          </cell>
          <cell r="AC261" t="str">
            <v>No, no tenemos prevista publicación</v>
          </cell>
          <cell r="AD261" t="str">
            <v>False</v>
          </cell>
        </row>
        <row r="262">
          <cell r="A262" t="str">
            <v>0011-1365-2020-000261</v>
          </cell>
          <cell r="B262" t="str">
            <v>Desarrollo de lentes con nuevas prestaciones lumínicas y desarrollo de las necesidades para la industrialización del proceso de ensamblado</v>
          </cell>
          <cell r="C262">
            <v>132955.24</v>
          </cell>
          <cell r="D262">
            <v>43922</v>
          </cell>
          <cell r="E262">
            <v>44651</v>
          </cell>
          <cell r="F262" t="str">
            <v>dirfinanciero@atpiluminacion.com</v>
          </cell>
          <cell r="G262" t="str">
            <v>Automoción y mecatrónica</v>
          </cell>
          <cell r="H262" t="str">
            <v>Automoción y mecatrónica</v>
          </cell>
          <cell r="I262" t="str">
            <v>Manufactura avanzada</v>
          </cell>
          <cell r="J262" t="str">
            <v>Manufactura avanzada</v>
          </cell>
          <cell r="K262" t="str">
            <v>Transformación 4.0 de la industria navarra</v>
          </cell>
          <cell r="L262" t="str">
            <v>Transformación 4.0 de la industria navarra</v>
          </cell>
          <cell r="M262" t="str">
            <v>Empresa</v>
          </cell>
          <cell r="N262" t="str">
            <v>Empresa</v>
          </cell>
          <cell r="O262" t="str">
            <v>Mediana</v>
          </cell>
          <cell r="P262" t="str">
            <v>Mediana</v>
          </cell>
          <cell r="Q262" t="str">
            <v>Individual</v>
          </cell>
          <cell r="R262" t="str">
            <v>Individual</v>
          </cell>
          <cell r="S262" t="str">
            <v>SI</v>
          </cell>
          <cell r="T262" t="str">
            <v>SI</v>
          </cell>
          <cell r="U262" t="str">
            <v>15-A-274-00006623</v>
          </cell>
          <cell r="V262" t="str">
            <v>NO</v>
          </cell>
          <cell r="W262" t="str">
            <v>NO</v>
          </cell>
          <cell r="Z262" t="str">
            <v>No, no tenemos intención de patentar</v>
          </cell>
          <cell r="AA262" t="str">
            <v>No, no tenemos intención de patentar</v>
          </cell>
          <cell r="AB262" t="str">
            <v>No, no tenemos prevista publicación</v>
          </cell>
          <cell r="AC262" t="str">
            <v>No, no tenemos prevista publicación</v>
          </cell>
          <cell r="AD262" t="str">
            <v>False</v>
          </cell>
        </row>
        <row r="263">
          <cell r="A263" t="str">
            <v>0011-1365-2020-000262</v>
          </cell>
          <cell r="B263" t="str">
            <v>“Desarrollo de piezas estructurales de madera con propiedades de ignifugación mejoradas en base a recubrimientos nanoestructurados” (MADIGNANO)</v>
          </cell>
          <cell r="C263">
            <v>134433</v>
          </cell>
          <cell r="D263">
            <v>43922</v>
          </cell>
          <cell r="E263">
            <v>44651</v>
          </cell>
          <cell r="F263" t="str">
            <v>lurederra@lurederra.es</v>
          </cell>
          <cell r="G263" t="str">
            <v>Energías renovables y recursos</v>
          </cell>
          <cell r="H263" t="str">
            <v>Energías renovables y recursos</v>
          </cell>
          <cell r="I263" t="str">
            <v>Manufactura avanzada</v>
          </cell>
          <cell r="J263" t="str">
            <v>Manufactura avanzada</v>
          </cell>
          <cell r="K263" t="str">
            <v>Promover la economía circular</v>
          </cell>
          <cell r="L263" t="str">
            <v>Promover la economía circular</v>
          </cell>
          <cell r="M263" t="str">
            <v>Organismo de investigación</v>
          </cell>
          <cell r="N263" t="str">
            <v>Organismo de investigación</v>
          </cell>
          <cell r="O263" t="str">
            <v>Pequeña</v>
          </cell>
          <cell r="P263" t="str">
            <v>Pequeña</v>
          </cell>
          <cell r="Q263" t="str">
            <v>Transferencia del conocimiento</v>
          </cell>
          <cell r="R263" t="str">
            <v>Transferencia del conocimiento</v>
          </cell>
          <cell r="S263" t="str">
            <v>NO</v>
          </cell>
          <cell r="T263" t="str">
            <v>NO</v>
          </cell>
          <cell r="U263" t="str">
            <v>No procede</v>
          </cell>
          <cell r="V263" t="str">
            <v>NO</v>
          </cell>
          <cell r="W263" t="str">
            <v>NO</v>
          </cell>
          <cell r="Z263" t="str">
            <v>No, no tenemos intención de patentar</v>
          </cell>
          <cell r="AA263" t="str">
            <v>No, no tenemos intención de patentar</v>
          </cell>
          <cell r="AB263" t="str">
            <v>No, no tenemos prevista publicación</v>
          </cell>
          <cell r="AC263" t="str">
            <v>No, no tenemos prevista publicación</v>
          </cell>
          <cell r="AD263" t="str">
            <v>False</v>
          </cell>
        </row>
        <row r="264">
          <cell r="A264" t="str">
            <v>0011-1365-2020-000263</v>
          </cell>
          <cell r="B264" t="str">
            <v>BARANDILLAS SOBRECUBIERTA DE ALTA RESISTENCIA - BARHD</v>
          </cell>
          <cell r="C264">
            <v>145674</v>
          </cell>
          <cell r="D264">
            <v>43922</v>
          </cell>
          <cell r="E264">
            <v>44651</v>
          </cell>
          <cell r="F264" t="str">
            <v>notificaciones@aguerri.es</v>
          </cell>
          <cell r="G264" t="str">
            <v>Energías renovables y recursos</v>
          </cell>
          <cell r="H264" t="str">
            <v>Energías renovables y recursos</v>
          </cell>
          <cell r="I264" t="str">
            <v>Otros</v>
          </cell>
          <cell r="J264" t="str">
            <v>Otros</v>
          </cell>
          <cell r="K264" t="str">
            <v>Promover la economía circular</v>
          </cell>
          <cell r="L264" t="str">
            <v>Promover la economía circular</v>
          </cell>
          <cell r="M264" t="str">
            <v>Empresa</v>
          </cell>
          <cell r="N264" t="str">
            <v>Empresa</v>
          </cell>
          <cell r="O264" t="str">
            <v>Mediana</v>
          </cell>
          <cell r="P264" t="str">
            <v>Mediana</v>
          </cell>
          <cell r="Q264" t="str">
            <v>Transferencia del conocimiento</v>
          </cell>
          <cell r="R264" t="str">
            <v>Transferencia del conocimiento</v>
          </cell>
          <cell r="S264" t="str">
            <v>SI</v>
          </cell>
          <cell r="T264" t="str">
            <v>SI</v>
          </cell>
          <cell r="V264" t="str">
            <v>NO</v>
          </cell>
          <cell r="W264" t="str">
            <v>NO</v>
          </cell>
          <cell r="Z264" t="str">
            <v>No, no tenemos intención de patentar</v>
          </cell>
          <cell r="AA264" t="str">
            <v>No, no tenemos intención de patentar</v>
          </cell>
          <cell r="AB264" t="str">
            <v>Sí, la publicación prevista es en revista científica q1</v>
          </cell>
          <cell r="AC264" t="str">
            <v>Sí, la publicación prevista es en revista científica q1</v>
          </cell>
          <cell r="AD264" t="str">
            <v>False</v>
          </cell>
        </row>
        <row r="265">
          <cell r="A265" t="str">
            <v>0011-1365-2020-000264</v>
          </cell>
          <cell r="B265" t="str">
            <v>Elaboración de un nuevo derivado cárnico basado en pepperoni orientado al mercado exterior (PEPPERIOR)</v>
          </cell>
          <cell r="C265">
            <v>203945</v>
          </cell>
          <cell r="D265">
            <v>43922</v>
          </cell>
          <cell r="E265">
            <v>44651</v>
          </cell>
          <cell r="F265" t="str">
            <v>administracion@galarfoods.com</v>
          </cell>
          <cell r="G265" t="str">
            <v>Cadena alimentaria</v>
          </cell>
          <cell r="H265" t="str">
            <v>Cadena alimentaria</v>
          </cell>
          <cell r="I265" t="str">
            <v>Otros</v>
          </cell>
          <cell r="J265" t="str">
            <v>Otros</v>
          </cell>
          <cell r="K265" t="str">
            <v>Vertebrar la cadena de valor alimentaria</v>
          </cell>
          <cell r="L265" t="str">
            <v>Vertebrar la cadena de valor alimentaria</v>
          </cell>
          <cell r="M265" t="str">
            <v>Empresa</v>
          </cell>
          <cell r="N265" t="str">
            <v>Empresa</v>
          </cell>
          <cell r="O265" t="str">
            <v>Pequeña</v>
          </cell>
          <cell r="P265" t="str">
            <v>Pequeña</v>
          </cell>
          <cell r="Q265" t="str">
            <v>Individual</v>
          </cell>
          <cell r="R265" t="str">
            <v>Individual</v>
          </cell>
          <cell r="S265" t="str">
            <v>SI</v>
          </cell>
          <cell r="T265" t="str">
            <v>SI</v>
          </cell>
          <cell r="V265" t="str">
            <v>NO</v>
          </cell>
          <cell r="W265" t="str">
            <v>NO</v>
          </cell>
          <cell r="Z265" t="str">
            <v>No, no tenemos intención de patentar</v>
          </cell>
          <cell r="AA265" t="str">
            <v>No, no tenemos intención de patentar</v>
          </cell>
          <cell r="AB265" t="str">
            <v>No, no tenemos prevista publicación</v>
          </cell>
          <cell r="AC265" t="str">
            <v>No, no tenemos prevista publicación</v>
          </cell>
          <cell r="AD265" t="str">
            <v>False</v>
          </cell>
        </row>
        <row r="266">
          <cell r="A266" t="str">
            <v>0011-1365-2020-000265</v>
          </cell>
          <cell r="B266" t="str">
            <v>Investigación en diseño, materiales y tratamientos avanzados para la mejora del proceso de repelado</v>
          </cell>
          <cell r="C266">
            <v>232820.64</v>
          </cell>
          <cell r="D266">
            <v>43922</v>
          </cell>
          <cell r="E266">
            <v>44651</v>
          </cell>
          <cell r="F266" t="str">
            <v>Carmen.Goyenaga@nuadi.com</v>
          </cell>
          <cell r="G266" t="str">
            <v>Automoción y mecatrónica</v>
          </cell>
          <cell r="H266" t="str">
            <v>Automoción y mecatrónica</v>
          </cell>
          <cell r="I266" t="str">
            <v>Manufactura avanzada</v>
          </cell>
          <cell r="J266" t="str">
            <v>Manufactura avanzada</v>
          </cell>
          <cell r="K266" t="str">
            <v>Transformación 4.0 de la industria navarra</v>
          </cell>
          <cell r="L266" t="str">
            <v>Transformación 4.0 de la industria navarra</v>
          </cell>
          <cell r="M266" t="str">
            <v>Empresa</v>
          </cell>
          <cell r="N266" t="str">
            <v>Empresa</v>
          </cell>
          <cell r="O266" t="str">
            <v>Grande</v>
          </cell>
          <cell r="P266" t="str">
            <v>Grande</v>
          </cell>
          <cell r="Q266" t="str">
            <v>Transferencia del conocimiento</v>
          </cell>
          <cell r="R266" t="str">
            <v>Transferencia del conocimiento</v>
          </cell>
          <cell r="S266" t="str">
            <v>SI</v>
          </cell>
          <cell r="T266" t="str">
            <v>SI</v>
          </cell>
          <cell r="U266" t="str">
            <v>15-A-255-00010733</v>
          </cell>
          <cell r="V266" t="str">
            <v>NO</v>
          </cell>
          <cell r="W266" t="str">
            <v>NO</v>
          </cell>
          <cell r="Z266" t="str">
            <v>No, no tenemos intención de patentar</v>
          </cell>
          <cell r="AA266" t="str">
            <v>No, no tenemos intención de patentar</v>
          </cell>
          <cell r="AB266" t="str">
            <v>Sí, la publicación prevista es en revista científica q1</v>
          </cell>
          <cell r="AC266" t="str">
            <v>Sí, la publicación prevista es en revista científica q1</v>
          </cell>
          <cell r="AD266" t="str">
            <v>False</v>
          </cell>
        </row>
        <row r="267">
          <cell r="A267" t="str">
            <v>0011-1365-2020-000266</v>
          </cell>
          <cell r="B267" t="str">
            <v xml:space="preserve">Nuevo proceso de verificación funcional en un entorno 4.0 </v>
          </cell>
          <cell r="C267">
            <v>349035.95</v>
          </cell>
          <cell r="D267">
            <v>43922</v>
          </cell>
          <cell r="E267">
            <v>44651</v>
          </cell>
          <cell r="F267" t="str">
            <v>i.moreno@falconelectronica.com</v>
          </cell>
          <cell r="G267" t="str">
            <v>Automoción y mecatrónica</v>
          </cell>
          <cell r="H267" t="str">
            <v>Automoción y mecatrónica</v>
          </cell>
          <cell r="I267" t="str">
            <v>Manufactura avanzada</v>
          </cell>
          <cell r="J267" t="str">
            <v>Manufactura avanzada</v>
          </cell>
          <cell r="K267" t="str">
            <v>Transformación 4.0 de la industria navarra</v>
          </cell>
          <cell r="L267" t="str">
            <v>Transformación 4.0 de la industria navarra</v>
          </cell>
          <cell r="M267" t="str">
            <v>Empresa</v>
          </cell>
          <cell r="N267" t="str">
            <v>Empresa</v>
          </cell>
          <cell r="O267" t="str">
            <v>Mediana</v>
          </cell>
          <cell r="P267" t="str">
            <v>Mediana</v>
          </cell>
          <cell r="Q267" t="str">
            <v>Individual</v>
          </cell>
          <cell r="R267" t="str">
            <v>Individual</v>
          </cell>
          <cell r="S267" t="str">
            <v>SI</v>
          </cell>
          <cell r="T267" t="str">
            <v>SI</v>
          </cell>
          <cell r="V267" t="str">
            <v>SI</v>
          </cell>
          <cell r="W267" t="str">
            <v>SI</v>
          </cell>
          <cell r="Y267" t="str">
            <v>Se solicitará a CDTI</v>
          </cell>
          <cell r="Z267" t="str">
            <v>No, no tenemos intención de patentar</v>
          </cell>
          <cell r="AA267" t="str">
            <v>No, no tenemos intención de patentar</v>
          </cell>
          <cell r="AB267" t="str">
            <v>No, no tenemos prevista publicación</v>
          </cell>
          <cell r="AC267" t="str">
            <v>No, no tenemos prevista publicación</v>
          </cell>
          <cell r="AD267" t="str">
            <v>False</v>
          </cell>
        </row>
        <row r="268">
          <cell r="A268" t="str">
            <v>0011-1365-2020-000267</v>
          </cell>
          <cell r="B268" t="str">
            <v>Nueva plataforma para el tratamiento personalizado del cáncer de colon</v>
          </cell>
          <cell r="C268">
            <v>153668</v>
          </cell>
          <cell r="D268">
            <v>43922</v>
          </cell>
          <cell r="E268">
            <v>44651</v>
          </cell>
          <cell r="F268" t="str">
            <v>fmiguels@navarra.es</v>
          </cell>
          <cell r="G268" t="str">
            <v>Salud</v>
          </cell>
          <cell r="H268" t="str">
            <v>Salud</v>
          </cell>
          <cell r="I268" t="str">
            <v>Biotecnología</v>
          </cell>
          <cell r="J268" t="str">
            <v>Biotecnología</v>
          </cell>
          <cell r="K268" t="str">
            <v>Desarrollo de la medicina personalizada</v>
          </cell>
          <cell r="L268" t="str">
            <v>Desarrollo de la medicina personalizada</v>
          </cell>
          <cell r="M268" t="str">
            <v>Organismo de investigación</v>
          </cell>
          <cell r="N268" t="str">
            <v>Organismo de investigación</v>
          </cell>
          <cell r="O268" t="str">
            <v>Organismo de investigación</v>
          </cell>
          <cell r="P268" t="str">
            <v>Organismo de investigación</v>
          </cell>
          <cell r="Q268" t="str">
            <v>Transferencia del conocimiento</v>
          </cell>
          <cell r="R268" t="str">
            <v>Transferencia del conocimiento</v>
          </cell>
          <cell r="S268" t="str">
            <v>NO</v>
          </cell>
          <cell r="T268" t="str">
            <v>NO</v>
          </cell>
          <cell r="U268" t="str">
            <v>No aplica</v>
          </cell>
          <cell r="V268" t="str">
            <v>NO</v>
          </cell>
          <cell r="W268" t="str">
            <v>NO</v>
          </cell>
          <cell r="Z268" t="str">
            <v>No, no tenemos intención de patentar</v>
          </cell>
          <cell r="AA268" t="str">
            <v>No, no tenemos intención de patentar</v>
          </cell>
          <cell r="AB268" t="str">
            <v>Sí, la publicación prevista es en revista científica q1</v>
          </cell>
          <cell r="AC268" t="str">
            <v>Sí, la publicación prevista es en revista científica q1</v>
          </cell>
          <cell r="AD268" t="str">
            <v>False</v>
          </cell>
        </row>
        <row r="269">
          <cell r="A269" t="str">
            <v>0011-1365-2020-000268</v>
          </cell>
          <cell r="B269" t="str">
            <v>FABINEXT - Desarrollo de sistemas de Fabricación de series cortas y medias basados en tecnologías de inyección y extrusión 3D</v>
          </cell>
          <cell r="C269">
            <v>154050</v>
          </cell>
          <cell r="D269">
            <v>43922</v>
          </cell>
          <cell r="E269">
            <v>44651</v>
          </cell>
          <cell r="F269" t="str">
            <v>slegaz@sayer.es</v>
          </cell>
          <cell r="G269" t="str">
            <v>Automoción y mecatrónica</v>
          </cell>
          <cell r="H269" t="str">
            <v>Automoción y mecatrónica</v>
          </cell>
          <cell r="I269" t="str">
            <v>Manufactura avanzada</v>
          </cell>
          <cell r="J269" t="str">
            <v>Manufactura avanzada</v>
          </cell>
          <cell r="K269" t="str">
            <v>Transformación 4.0 de la industria navarra</v>
          </cell>
          <cell r="L269" t="str">
            <v>Transformación 4.0 de la industria navarra</v>
          </cell>
          <cell r="M269" t="str">
            <v>Empresa</v>
          </cell>
          <cell r="N269" t="str">
            <v>Empresa</v>
          </cell>
          <cell r="O269" t="str">
            <v>Pequeña</v>
          </cell>
          <cell r="P269" t="str">
            <v>Pequeña</v>
          </cell>
          <cell r="Q269" t="str">
            <v>Cooperativo</v>
          </cell>
          <cell r="R269" t="str">
            <v>Cooperativo</v>
          </cell>
          <cell r="S269" t="str">
            <v>SI</v>
          </cell>
          <cell r="T269" t="str">
            <v>SI</v>
          </cell>
          <cell r="V269" t="str">
            <v>NO</v>
          </cell>
          <cell r="W269" t="str">
            <v>NO</v>
          </cell>
          <cell r="Z269" t="str">
            <v>No, no tenemos intención de patentar</v>
          </cell>
          <cell r="AA269" t="str">
            <v>No, no tenemos intención de patentar</v>
          </cell>
          <cell r="AB269" t="str">
            <v>No, no tenemos prevista publicación</v>
          </cell>
          <cell r="AC269" t="str">
            <v>No, no tenemos prevista publicación</v>
          </cell>
          <cell r="AD269" t="str">
            <v>False</v>
          </cell>
        </row>
        <row r="270">
          <cell r="A270" t="str">
            <v>0011-1365-2020-000269</v>
          </cell>
          <cell r="B270" t="str">
            <v>FLOTATU (FLoating dOwnwind Two-blAded TUrbine control)</v>
          </cell>
          <cell r="C270">
            <v>253523.75</v>
          </cell>
          <cell r="D270">
            <v>43922</v>
          </cell>
          <cell r="E270">
            <v>44651</v>
          </cell>
          <cell r="F270" t="str">
            <v>earbizu@cener.com</v>
          </cell>
          <cell r="G270" t="str">
            <v>Energías renovables y recursos</v>
          </cell>
          <cell r="H270" t="str">
            <v>Energías renovables y recursos</v>
          </cell>
          <cell r="I270" t="str">
            <v>Otros</v>
          </cell>
          <cell r="J270" t="str">
            <v>Otros</v>
          </cell>
          <cell r="K270" t="str">
            <v>Fortalecimiento del sector eólico</v>
          </cell>
          <cell r="L270" t="str">
            <v>Fortalecimiento del sector eólico</v>
          </cell>
          <cell r="M270" t="str">
            <v>Organismo de investigación</v>
          </cell>
          <cell r="N270" t="str">
            <v>Organismo de investigación</v>
          </cell>
          <cell r="P270" t="str">
            <v>Seleccionar...</v>
          </cell>
          <cell r="Q270" t="str">
            <v>Transferencia del conocimiento</v>
          </cell>
          <cell r="R270" t="str">
            <v>Transferencia del conocimiento</v>
          </cell>
          <cell r="S270" t="str">
            <v>NO</v>
          </cell>
          <cell r="T270" t="str">
            <v>NO</v>
          </cell>
          <cell r="U270" t="str">
            <v>no aplica</v>
          </cell>
          <cell r="V270" t="str">
            <v>NO</v>
          </cell>
          <cell r="W270" t="str">
            <v>NO</v>
          </cell>
          <cell r="Z270" t="str">
            <v>No, no tenemos intención de patentar</v>
          </cell>
          <cell r="AA270" t="str">
            <v>No, no tenemos intención de patentar</v>
          </cell>
          <cell r="AB270" t="str">
            <v>Sí, la publicación prevista es en revista científica</v>
          </cell>
          <cell r="AC270" t="str">
            <v>Sí, la publicación prevista es en revista científica</v>
          </cell>
          <cell r="AD270" t="str">
            <v>False</v>
          </cell>
        </row>
        <row r="271">
          <cell r="A271" t="str">
            <v>0011-1365-2020-000270</v>
          </cell>
          <cell r="B271" t="str">
            <v xml:space="preserve"> célulA Robótica para el pulIdo piezaS estrucTurales de metAl duro del sectoR aeronáutiCO - ARISTARCO </v>
          </cell>
          <cell r="C271">
            <v>245221.25</v>
          </cell>
          <cell r="D271">
            <v>43922</v>
          </cell>
          <cell r="E271">
            <v>44651</v>
          </cell>
          <cell r="F271" t="str">
            <v>administracion@aldakin.com</v>
          </cell>
          <cell r="G271" t="str">
            <v>Automoción y mecatrónica</v>
          </cell>
          <cell r="H271" t="str">
            <v>Automoción y mecatrónica</v>
          </cell>
          <cell r="I271" t="str">
            <v>Manufactura avanzada</v>
          </cell>
          <cell r="J271" t="str">
            <v>Manufactura avanzada</v>
          </cell>
          <cell r="K271" t="str">
            <v>Transformación 4.0 de la industria navarra</v>
          </cell>
          <cell r="L271" t="str">
            <v>Transformación 4.0 de la industria navarra</v>
          </cell>
          <cell r="M271" t="str">
            <v>Empresa</v>
          </cell>
          <cell r="N271" t="str">
            <v>Empresa</v>
          </cell>
          <cell r="O271" t="str">
            <v>Mediana</v>
          </cell>
          <cell r="P271" t="str">
            <v>Mediana</v>
          </cell>
          <cell r="Q271" t="str">
            <v>Transferencia del conocimiento</v>
          </cell>
          <cell r="R271" t="str">
            <v>Transferencia del conocimiento</v>
          </cell>
          <cell r="S271" t="str">
            <v>SI</v>
          </cell>
          <cell r="T271" t="str">
            <v>SI</v>
          </cell>
          <cell r="U271" t="str">
            <v>15-C-181-00060055</v>
          </cell>
          <cell r="V271" t="str">
            <v>NO</v>
          </cell>
          <cell r="W271" t="str">
            <v>NO</v>
          </cell>
          <cell r="Z271" t="str">
            <v>No, no tenemos intención de patentar</v>
          </cell>
          <cell r="AA271" t="str">
            <v>No, no tenemos intención de patentar</v>
          </cell>
          <cell r="AB271" t="str">
            <v>Sí, la publicación prevista es en revista científica q1</v>
          </cell>
          <cell r="AC271" t="str">
            <v>Sí, la publicación prevista es en revista científica q1</v>
          </cell>
          <cell r="AD271" t="str">
            <v>False</v>
          </cell>
        </row>
        <row r="272">
          <cell r="A272" t="str">
            <v>0011-1365-2020-000271</v>
          </cell>
          <cell r="B272" t="str">
            <v>METODOLOGÍA AVANZADA PARA LA EVALUACIÓN DE LA TOLERANCIA AL DAÑO DE LA DEFECTOLOGÍA DETECTADA EN MATERIALES COMPUESTOS</v>
          </cell>
          <cell r="C272">
            <v>249405</v>
          </cell>
          <cell r="D272">
            <v>43922</v>
          </cell>
          <cell r="E272">
            <v>44651</v>
          </cell>
          <cell r="F272" t="str">
            <v>earbizu@cener.com</v>
          </cell>
          <cell r="G272" t="str">
            <v>Energías renovables y recursos</v>
          </cell>
          <cell r="H272" t="str">
            <v>Energías renovables y recursos</v>
          </cell>
          <cell r="I272" t="str">
            <v>Otros</v>
          </cell>
          <cell r="J272" t="str">
            <v>Otros</v>
          </cell>
          <cell r="K272" t="str">
            <v>Fortalecimiento del sector eólico</v>
          </cell>
          <cell r="L272" t="str">
            <v>Fortalecimiento del sector eólico</v>
          </cell>
          <cell r="M272" t="str">
            <v>Organismo de investigación</v>
          </cell>
          <cell r="N272" t="str">
            <v>Organismo de investigación</v>
          </cell>
          <cell r="O272" t="str">
            <v>Organismo de investigación</v>
          </cell>
          <cell r="P272" t="str">
            <v>Organismo de investigación</v>
          </cell>
          <cell r="Q272" t="str">
            <v>Transferencia del conocimiento</v>
          </cell>
          <cell r="R272" t="str">
            <v>Transferencia del conocimiento</v>
          </cell>
          <cell r="S272" t="str">
            <v>NO</v>
          </cell>
          <cell r="T272" t="str">
            <v>NO</v>
          </cell>
          <cell r="U272" t="str">
            <v>no aplica</v>
          </cell>
          <cell r="V272" t="str">
            <v>NO</v>
          </cell>
          <cell r="W272" t="str">
            <v>NO</v>
          </cell>
          <cell r="Z272" t="str">
            <v>No, no tenemos intención de patentar</v>
          </cell>
          <cell r="AA272" t="str">
            <v>No, no tenemos intención de patentar</v>
          </cell>
          <cell r="AB272" t="str">
            <v>Sí, la publicación prevista es en revista científica q1</v>
          </cell>
          <cell r="AC272" t="str">
            <v>Sí, la publicación prevista es en revista científica q1</v>
          </cell>
          <cell r="AD272" t="str">
            <v>False</v>
          </cell>
        </row>
        <row r="273">
          <cell r="A273" t="str">
            <v>0011-1365-2020-000272</v>
          </cell>
          <cell r="B273" t="str">
            <v>FABINEXT - Desarrollo de sistemas de FABricación de series cortas y medias basados en tecnologías de INyección y EXTrusión 3D</v>
          </cell>
          <cell r="C273">
            <v>208987</v>
          </cell>
          <cell r="D273">
            <v>43922</v>
          </cell>
          <cell r="E273">
            <v>44651</v>
          </cell>
          <cell r="F273" t="str">
            <v>juanjo@mpjoven.com</v>
          </cell>
          <cell r="G273" t="str">
            <v>Automoción y mecatrónica</v>
          </cell>
          <cell r="H273" t="str">
            <v>Automoción y mecatrónica</v>
          </cell>
          <cell r="I273" t="str">
            <v>Manufactura avanzada</v>
          </cell>
          <cell r="J273" t="str">
            <v>Manufactura avanzada</v>
          </cell>
          <cell r="K273" t="str">
            <v>Transformación 4.0 de la industria navarra</v>
          </cell>
          <cell r="L273" t="str">
            <v>Transformación 4.0 de la industria navarra</v>
          </cell>
          <cell r="M273" t="str">
            <v>Empresa</v>
          </cell>
          <cell r="N273" t="str">
            <v>Empresa</v>
          </cell>
          <cell r="O273" t="str">
            <v>Pequeña</v>
          </cell>
          <cell r="P273" t="str">
            <v>Pequeña</v>
          </cell>
          <cell r="Q273" t="str">
            <v>Cooperativo</v>
          </cell>
          <cell r="R273" t="str">
            <v>Cooperativo</v>
          </cell>
          <cell r="S273" t="str">
            <v>SI</v>
          </cell>
          <cell r="T273" t="str">
            <v>SI</v>
          </cell>
          <cell r="V273" t="str">
            <v>NO</v>
          </cell>
          <cell r="W273" t="str">
            <v>NO</v>
          </cell>
          <cell r="Z273" t="str">
            <v>No, no tenemos intención de patentar</v>
          </cell>
          <cell r="AA273" t="str">
            <v>No, no tenemos intención de patentar</v>
          </cell>
          <cell r="AB273" t="str">
            <v>No, no tenemos prevista publicación</v>
          </cell>
          <cell r="AC273" t="str">
            <v>No, no tenemos prevista publicación</v>
          </cell>
          <cell r="AD273" t="str">
            <v>False</v>
          </cell>
        </row>
        <row r="274">
          <cell r="A274" t="str">
            <v>0011-1365-2020-000273</v>
          </cell>
          <cell r="B274" t="str">
            <v xml:space="preserve">ESTUDIO SOBRE LA EVOLUCIÓN DEL MOSTO YEMA PARA EL DESARROLLO DE UN NUEVO PROCESO DE ELABORACIÓN DE JUGO DE UVA NATURAL </v>
          </cell>
          <cell r="C274" t="str">
            <v>375851.99</v>
          </cell>
          <cell r="D274">
            <v>43983</v>
          </cell>
          <cell r="E274">
            <v>44651</v>
          </cell>
          <cell r="F274" t="str">
            <v>info@vegadelcastillo.com</v>
          </cell>
          <cell r="G274" t="str">
            <v>Cadena alimentaria</v>
          </cell>
          <cell r="H274" t="str">
            <v>Cadena alimentaria</v>
          </cell>
          <cell r="I274" t="str">
            <v>Manufactura avanzada</v>
          </cell>
          <cell r="J274" t="str">
            <v>Manufactura avanzada</v>
          </cell>
          <cell r="K274" t="str">
            <v>Vertebrar la cadena de valor alimentaria</v>
          </cell>
          <cell r="L274" t="str">
            <v>Vertebrar la cadena de valor alimentaria</v>
          </cell>
          <cell r="M274" t="str">
            <v>Empresa</v>
          </cell>
          <cell r="N274" t="str">
            <v>Empresa</v>
          </cell>
          <cell r="O274" t="str">
            <v>Pequeña</v>
          </cell>
          <cell r="P274" t="str">
            <v>Pequeña</v>
          </cell>
          <cell r="Q274" t="str">
            <v>Individual</v>
          </cell>
          <cell r="R274" t="str">
            <v>Individual</v>
          </cell>
          <cell r="S274" t="str">
            <v>SI</v>
          </cell>
          <cell r="T274" t="str">
            <v>SI</v>
          </cell>
          <cell r="V274" t="str">
            <v>NO</v>
          </cell>
          <cell r="W274" t="str">
            <v>NO</v>
          </cell>
          <cell r="Z274" t="str">
            <v>No, no tenemos intención de patentar</v>
          </cell>
          <cell r="AA274" t="str">
            <v>No, no tenemos intención de patentar</v>
          </cell>
          <cell r="AB274" t="str">
            <v>No, no tenemos prevista publicación</v>
          </cell>
          <cell r="AC274" t="str">
            <v>No, no tenemos prevista publicación</v>
          </cell>
          <cell r="AD274" t="str">
            <v>False</v>
          </cell>
        </row>
        <row r="275">
          <cell r="A275" t="str">
            <v>0011-1365-2020-000274</v>
          </cell>
          <cell r="B275" t="str">
            <v>METODOLOGÍA AVANZADA PARA LA EVALUACIÓN DE LA TOLERANCIA AL DAÑO DE LA DEFECTOLOGÍA DETECTADA EN MATERIALES COMPUESTOS (LUPDEFECT)</v>
          </cell>
          <cell r="C275">
            <v>200704</v>
          </cell>
          <cell r="D275">
            <v>43922</v>
          </cell>
          <cell r="E275">
            <v>44651</v>
          </cell>
          <cell r="F275" t="str">
            <v>Nordexfiscal@nordex-online.com</v>
          </cell>
          <cell r="G275" t="str">
            <v>Energías renovables y recursos</v>
          </cell>
          <cell r="H275" t="str">
            <v>Energías renovables y recursos</v>
          </cell>
          <cell r="I275" t="str">
            <v>Manufactura avanzada</v>
          </cell>
          <cell r="J275" t="str">
            <v>Manufactura avanzada</v>
          </cell>
          <cell r="K275" t="str">
            <v>Fortalecimiento del sector eólico</v>
          </cell>
          <cell r="L275" t="str">
            <v>Fortalecimiento del sector eólico</v>
          </cell>
          <cell r="M275" t="str">
            <v>Empresa</v>
          </cell>
          <cell r="N275" t="str">
            <v>Empresa</v>
          </cell>
          <cell r="O275" t="str">
            <v>Grande</v>
          </cell>
          <cell r="P275" t="str">
            <v>Grande</v>
          </cell>
          <cell r="Q275" t="str">
            <v>Transferencia del conocimiento</v>
          </cell>
          <cell r="R275" t="str">
            <v>Transferencia del conocimiento</v>
          </cell>
          <cell r="S275" t="str">
            <v>SI</v>
          </cell>
          <cell r="T275" t="str">
            <v>SI</v>
          </cell>
          <cell r="V275" t="str">
            <v>NO</v>
          </cell>
          <cell r="W275" t="str">
            <v>NO</v>
          </cell>
          <cell r="Z275" t="str">
            <v>No, no tenemos intención de patentar</v>
          </cell>
          <cell r="AA275" t="str">
            <v>No, no tenemos intención de patentar</v>
          </cell>
          <cell r="AB275" t="str">
            <v>No, no tenemos prevista publicación</v>
          </cell>
          <cell r="AC275" t="str">
            <v>No, no tenemos prevista publicación</v>
          </cell>
          <cell r="AD275" t="str">
            <v>False</v>
          </cell>
        </row>
        <row r="276">
          <cell r="A276" t="str">
            <v>0011-1365-2020-000275</v>
          </cell>
          <cell r="B276" t="str">
            <v>METODOLOGÍA AVANZADA PARA LA EVALUACIÓN DE LA TOLERANCIA AL DAÑO DE LA DEFECTOLOGÍA DETECTADA EN MATERIALES COMPUESTOS (LUPDEFECT)</v>
          </cell>
          <cell r="C276">
            <v>105670.92</v>
          </cell>
          <cell r="D276">
            <v>43922</v>
          </cell>
          <cell r="E276">
            <v>44651</v>
          </cell>
          <cell r="F276" t="str">
            <v>Nordexfiscal@nordex-online.com</v>
          </cell>
          <cell r="G276" t="str">
            <v>Energías renovables y recursos</v>
          </cell>
          <cell r="H276" t="str">
            <v>Energías renovables y recursos</v>
          </cell>
          <cell r="I276" t="str">
            <v>Manufactura avanzada</v>
          </cell>
          <cell r="J276" t="str">
            <v>Manufactura avanzada</v>
          </cell>
          <cell r="K276" t="str">
            <v>Fortalecimiento del sector eólico</v>
          </cell>
          <cell r="L276" t="str">
            <v>Fortalecimiento del sector eólico</v>
          </cell>
          <cell r="M276" t="str">
            <v>Empresa</v>
          </cell>
          <cell r="N276" t="str">
            <v>Empresa</v>
          </cell>
          <cell r="O276" t="str">
            <v>Grande</v>
          </cell>
          <cell r="P276" t="str">
            <v>Grande</v>
          </cell>
          <cell r="Q276" t="str">
            <v>Transferencia del conocimiento</v>
          </cell>
          <cell r="R276" t="str">
            <v>Transferencia del conocimiento</v>
          </cell>
          <cell r="S276" t="str">
            <v>SI</v>
          </cell>
          <cell r="T276" t="str">
            <v>SI</v>
          </cell>
          <cell r="V276" t="str">
            <v>NO</v>
          </cell>
          <cell r="W276" t="str">
            <v>NO</v>
          </cell>
          <cell r="Z276" t="str">
            <v>No, no tenemos intención de patentar</v>
          </cell>
          <cell r="AA276" t="str">
            <v>No, no tenemos intención de patentar</v>
          </cell>
          <cell r="AB276" t="str">
            <v>No, no tenemos prevista publicación</v>
          </cell>
          <cell r="AC276" t="str">
            <v>No, no tenemos prevista publicación</v>
          </cell>
          <cell r="AD276" t="str">
            <v>False</v>
          </cell>
        </row>
        <row r="277">
          <cell r="A277" t="str">
            <v>0011-1365-2020-000276</v>
          </cell>
          <cell r="B277" t="str">
            <v>SID. Sistema de Integración Documental. Desarrollo de un software “Middleware” universal para la integración de aplicaciones de gestión empresarial, con aplicaciones de gestión documental y sistemas de firma digital, remota o biométrica.</v>
          </cell>
          <cell r="C277">
            <v>163256</v>
          </cell>
          <cell r="D277">
            <v>43922</v>
          </cell>
          <cell r="E277">
            <v>44469</v>
          </cell>
          <cell r="F277" t="str">
            <v>administracion@atecna.com</v>
          </cell>
          <cell r="G277" t="str">
            <v>Industrias creativas y digitales</v>
          </cell>
          <cell r="H277" t="str">
            <v>Industrias creativas y digitales</v>
          </cell>
          <cell r="I277" t="str">
            <v>Tic</v>
          </cell>
          <cell r="J277" t="str">
            <v>Tic</v>
          </cell>
          <cell r="K277" t="str">
            <v>Transformación 4.0 de la industria navarra</v>
          </cell>
          <cell r="L277" t="str">
            <v>Transformación 4.0 de la industria navarra</v>
          </cell>
          <cell r="M277" t="str">
            <v>Empresa</v>
          </cell>
          <cell r="N277" t="str">
            <v>Empresa</v>
          </cell>
          <cell r="O277" t="str">
            <v>Mediana</v>
          </cell>
          <cell r="P277" t="str">
            <v>Mediana</v>
          </cell>
          <cell r="Q277" t="str">
            <v>Individual</v>
          </cell>
          <cell r="R277" t="str">
            <v>Individual</v>
          </cell>
          <cell r="T277" t="str">
            <v>Seleccionar...</v>
          </cell>
          <cell r="U277" t="str">
            <v>No tiene obligación</v>
          </cell>
          <cell r="V277" t="str">
            <v>NO</v>
          </cell>
          <cell r="W277" t="str">
            <v>NO</v>
          </cell>
          <cell r="Z277" t="str">
            <v>Sí, la patente prevista es europea</v>
          </cell>
          <cell r="AA277" t="str">
            <v>Sí, la patente prevista es europea</v>
          </cell>
          <cell r="AB277" t="str">
            <v>No, no tenemos prevista publicación</v>
          </cell>
          <cell r="AC277" t="str">
            <v>No, no tenemos prevista publicación</v>
          </cell>
          <cell r="AD277" t="str">
            <v>False</v>
          </cell>
        </row>
        <row r="278">
          <cell r="A278" t="str">
            <v>0011-1365-2020-000277</v>
          </cell>
          <cell r="B278" t="str">
            <v>Desarrollo de piezas estructurales de madera con propiedades de ignifugacion mejoradas en base a recubrimientos nanoestructurados (MADIGNANO)</v>
          </cell>
          <cell r="C278">
            <v>135086</v>
          </cell>
          <cell r="D278">
            <v>43922</v>
          </cell>
          <cell r="E278">
            <v>44651</v>
          </cell>
          <cell r="F278" t="str">
            <v>cmv@can.es</v>
          </cell>
          <cell r="G278" t="str">
            <v>Energías renovables y recursos</v>
          </cell>
          <cell r="H278" t="str">
            <v>Energías renovables y recursos</v>
          </cell>
          <cell r="I278" t="str">
            <v>Manufactura avanzada</v>
          </cell>
          <cell r="J278" t="str">
            <v>Manufactura avanzada</v>
          </cell>
          <cell r="K278" t="str">
            <v>Promover la economía circular</v>
          </cell>
          <cell r="L278" t="str">
            <v>Promover la economía circular</v>
          </cell>
          <cell r="M278" t="str">
            <v>Empresa</v>
          </cell>
          <cell r="N278" t="str">
            <v>Empresa</v>
          </cell>
          <cell r="O278" t="str">
            <v>Pequeña</v>
          </cell>
          <cell r="P278" t="str">
            <v>Pequeña</v>
          </cell>
          <cell r="Q278" t="str">
            <v>Transferencia del conocimiento</v>
          </cell>
          <cell r="R278" t="str">
            <v>Transferencia del conocimiento</v>
          </cell>
          <cell r="S278" t="str">
            <v>SI</v>
          </cell>
          <cell r="T278" t="str">
            <v>SI</v>
          </cell>
          <cell r="V278" t="str">
            <v>NO</v>
          </cell>
          <cell r="W278" t="str">
            <v>NO</v>
          </cell>
          <cell r="Z278" t="str">
            <v>No, no tenemos intención de patentar</v>
          </cell>
          <cell r="AA278" t="str">
            <v>No, no tenemos intención de patentar</v>
          </cell>
          <cell r="AB278" t="str">
            <v>No, no tenemos prevista publicación</v>
          </cell>
          <cell r="AC278" t="str">
            <v>No, no tenemos prevista publicación</v>
          </cell>
          <cell r="AD278" t="str">
            <v>False</v>
          </cell>
        </row>
        <row r="279">
          <cell r="A279" t="str">
            <v>0011-1365-2020-000278</v>
          </cell>
          <cell r="B279" t="str">
            <v>Nueva terapia fágica frente a infecciones de Escherichia coli en humanos [ANTI-COLI]</v>
          </cell>
          <cell r="C279">
            <v>468882.25</v>
          </cell>
          <cell r="D279">
            <v>43922</v>
          </cell>
          <cell r="E279">
            <v>44651</v>
          </cell>
          <cell r="F279" t="str">
            <v>rdiez@telumther.com</v>
          </cell>
          <cell r="G279" t="str">
            <v>Salud</v>
          </cell>
          <cell r="H279" t="str">
            <v>Salud</v>
          </cell>
          <cell r="I279" t="str">
            <v>Biotecnología</v>
          </cell>
          <cell r="J279" t="str">
            <v>Biotecnología</v>
          </cell>
          <cell r="K279" t="str">
            <v>Desarrollo de la medicina personalizada</v>
          </cell>
          <cell r="L279" t="str">
            <v>Desarrollo de la medicina personalizada</v>
          </cell>
          <cell r="M279" t="str">
            <v>Empresa</v>
          </cell>
          <cell r="N279" t="str">
            <v>Empresa</v>
          </cell>
          <cell r="O279" t="str">
            <v>Pequeña</v>
          </cell>
          <cell r="P279" t="str">
            <v>Pequeña</v>
          </cell>
          <cell r="Q279" t="str">
            <v>Transferencia del conocimiento</v>
          </cell>
          <cell r="R279" t="str">
            <v>Transferencia del conocimiento</v>
          </cell>
          <cell r="S279" t="str">
            <v>NO</v>
          </cell>
          <cell r="T279" t="str">
            <v>NO</v>
          </cell>
          <cell r="U279" t="str">
            <v>N/A</v>
          </cell>
          <cell r="V279" t="str">
            <v>SI</v>
          </cell>
          <cell r="W279" t="str">
            <v>SI</v>
          </cell>
          <cell r="X279">
            <v>43896</v>
          </cell>
          <cell r="Y279" t="str">
            <v>Ayudas a la Contratación de Personal Investigador y Tecnológico Gobierno de Navarra 2020</v>
          </cell>
          <cell r="Z279" t="str">
            <v>No, no tenemos intención de patentar</v>
          </cell>
          <cell r="AA279" t="str">
            <v>No, no tenemos intención de patentar</v>
          </cell>
          <cell r="AB279" t="str">
            <v>Sí, la publicación prevista es en revista científica q1</v>
          </cell>
          <cell r="AC279" t="str">
            <v>Sí, la publicación prevista es en revista científica q1</v>
          </cell>
          <cell r="AD279" t="str">
            <v>False</v>
          </cell>
        </row>
        <row r="280">
          <cell r="A280" t="str">
            <v>0011-1365-2020-000279</v>
          </cell>
          <cell r="B280" t="str">
            <v>Nueva terapia fágica frente a infecciones de Escherichia coli en humanos</v>
          </cell>
          <cell r="C280">
            <v>237159</v>
          </cell>
          <cell r="D280">
            <v>43922</v>
          </cell>
          <cell r="E280">
            <v>44651</v>
          </cell>
          <cell r="F280" t="str">
            <v>proyectos_id@unav.es</v>
          </cell>
          <cell r="G280" t="str">
            <v>Salud</v>
          </cell>
          <cell r="H280" t="str">
            <v>Salud</v>
          </cell>
          <cell r="I280" t="str">
            <v>Biotecnología</v>
          </cell>
          <cell r="J280" t="str">
            <v>Biotecnología</v>
          </cell>
          <cell r="K280" t="str">
            <v>Desarrollo de la medicina personalizada</v>
          </cell>
          <cell r="L280" t="str">
            <v>Desarrollo de la medicina personalizada</v>
          </cell>
          <cell r="M280" t="str">
            <v>Organismo de investigación</v>
          </cell>
          <cell r="N280" t="str">
            <v>Organismo de investigación</v>
          </cell>
          <cell r="O280" t="str">
            <v>Organismo de investigación</v>
          </cell>
          <cell r="P280" t="str">
            <v>Organismo de investigación</v>
          </cell>
          <cell r="Q280" t="str">
            <v>Transferencia del conocimiento</v>
          </cell>
          <cell r="R280" t="str">
            <v>Transferencia del conocimiento</v>
          </cell>
          <cell r="T280" t="str">
            <v>Seleccionar...</v>
          </cell>
          <cell r="U280" t="str">
            <v>No aplica</v>
          </cell>
          <cell r="V280" t="str">
            <v>NO</v>
          </cell>
          <cell r="W280" t="str">
            <v>NO</v>
          </cell>
          <cell r="Z280" t="str">
            <v>No, no tenemos intención de patentar</v>
          </cell>
          <cell r="AA280" t="str">
            <v>No, no tenemos intención de patentar</v>
          </cell>
          <cell r="AB280" t="str">
            <v>Sí, la publicación prevista es en revista científica q1</v>
          </cell>
          <cell r="AC280" t="str">
            <v>Sí, la publicación prevista es en revista científica q1</v>
          </cell>
          <cell r="AD280" t="str">
            <v>False</v>
          </cell>
        </row>
        <row r="281">
          <cell r="A281" t="str">
            <v>0011-1365-2020-000280</v>
          </cell>
          <cell r="B281" t="str">
            <v>DESARROLLO DE NUEVA ARQUITECTURA DE PLANTA SOLAR MÁS EFICIENTE GRACIAS AL USO DE SENSORICA Y ALGORITMOS DE CONTROL AVANZADOS</v>
          </cell>
          <cell r="C281">
            <v>593169.63</v>
          </cell>
          <cell r="D281">
            <v>43952</v>
          </cell>
          <cell r="E281">
            <v>44651</v>
          </cell>
          <cell r="F281" t="str">
            <v>administracion@stinorland.com</v>
          </cell>
          <cell r="G281" t="str">
            <v>Automoción y mecatrónica</v>
          </cell>
          <cell r="H281" t="str">
            <v>Automoción y mecatrónica</v>
          </cell>
          <cell r="I281" t="str">
            <v>Tic</v>
          </cell>
          <cell r="J281" t="str">
            <v>Tic</v>
          </cell>
          <cell r="K281" t="str">
            <v>Transformación 4.0 de la industria navarra</v>
          </cell>
          <cell r="L281" t="str">
            <v>Transformación 4.0 de la industria navarra</v>
          </cell>
          <cell r="M281" t="str">
            <v>Empresa</v>
          </cell>
          <cell r="N281" t="str">
            <v>Empresa</v>
          </cell>
          <cell r="O281" t="str">
            <v>Mediana</v>
          </cell>
          <cell r="P281" t="str">
            <v>Mediana</v>
          </cell>
          <cell r="Q281" t="str">
            <v>Transferencia del conocimiento</v>
          </cell>
          <cell r="R281" t="str">
            <v>Transferencia del conocimiento</v>
          </cell>
          <cell r="S281" t="str">
            <v>SI</v>
          </cell>
          <cell r="T281" t="str">
            <v>SI</v>
          </cell>
          <cell r="U281" t="str">
            <v>15-B-D09-00052253</v>
          </cell>
          <cell r="V281" t="str">
            <v>NO</v>
          </cell>
          <cell r="W281" t="str">
            <v>NO</v>
          </cell>
          <cell r="Z281" t="str">
            <v>No, no tenemos intención de patentar</v>
          </cell>
          <cell r="AA281" t="str">
            <v>No, no tenemos intención de patentar</v>
          </cell>
          <cell r="AB281" t="str">
            <v>No, no tenemos prevista publicación</v>
          </cell>
          <cell r="AC281" t="str">
            <v>No, no tenemos prevista publicación</v>
          </cell>
          <cell r="AD281" t="str">
            <v>False</v>
          </cell>
        </row>
        <row r="282">
          <cell r="A282" t="str">
            <v>0011-1365-2020-000281</v>
          </cell>
          <cell r="B282" t="str">
            <v>DESARROLLO DE ECOFERTILIZANTES DE ALTA EFICACIA PARA ELEVAR LA PRODUCTIVIDAD DE CULTIVOS ECOLÓGICOS (ECOLOGIC)</v>
          </cell>
          <cell r="C282">
            <v>348240</v>
          </cell>
          <cell r="D282">
            <v>43922</v>
          </cell>
          <cell r="E282">
            <v>44651</v>
          </cell>
          <cell r="F282" t="str">
            <v>jsegura@timacagro.es</v>
          </cell>
          <cell r="G282" t="str">
            <v>Cadena alimentaria</v>
          </cell>
          <cell r="H282" t="str">
            <v>Cadena alimentaria</v>
          </cell>
          <cell r="I282" t="str">
            <v>Biotecnología</v>
          </cell>
          <cell r="J282" t="str">
            <v>Biotecnología</v>
          </cell>
          <cell r="K282" t="str">
            <v>Vertebrar la cadena de valor alimentaria</v>
          </cell>
          <cell r="L282" t="str">
            <v>Vertebrar la cadena de valor alimentaria</v>
          </cell>
          <cell r="M282" t="str">
            <v>Empresa</v>
          </cell>
          <cell r="N282" t="str">
            <v>Empresa</v>
          </cell>
          <cell r="O282" t="str">
            <v>Grande</v>
          </cell>
          <cell r="P282" t="str">
            <v>Grande</v>
          </cell>
          <cell r="Q282" t="str">
            <v>Transferencia del conocimiento</v>
          </cell>
          <cell r="R282" t="str">
            <v>Transferencia del conocimiento</v>
          </cell>
          <cell r="S282" t="str">
            <v>SI</v>
          </cell>
          <cell r="T282" t="str">
            <v>SI</v>
          </cell>
          <cell r="U282" t="str">
            <v>15-A-201-00000056</v>
          </cell>
          <cell r="V282" t="str">
            <v>NO</v>
          </cell>
          <cell r="W282" t="str">
            <v>NO</v>
          </cell>
          <cell r="Z282" t="str">
            <v>No, no tenemos intención de patentar</v>
          </cell>
          <cell r="AA282" t="str">
            <v>No, no tenemos intención de patentar</v>
          </cell>
          <cell r="AB282" t="str">
            <v>No, no tenemos prevista publicación</v>
          </cell>
          <cell r="AC282" t="str">
            <v>No, no tenemos prevista publicación</v>
          </cell>
          <cell r="AD282" t="str">
            <v>False</v>
          </cell>
        </row>
        <row r="283">
          <cell r="A283" t="str">
            <v>0011-1365-2020-000282</v>
          </cell>
          <cell r="B283" t="str">
            <v>NUNEA PLATAFORMA PARA EL TRATAMIENTO PERSONALIZADO DEL CÁNCER DE COLON</v>
          </cell>
          <cell r="C283">
            <v>154922</v>
          </cell>
          <cell r="D283">
            <v>43922</v>
          </cell>
          <cell r="E283">
            <v>44651</v>
          </cell>
          <cell r="F283" t="str">
            <v>proyectos_id@unav.es</v>
          </cell>
          <cell r="G283" t="str">
            <v>Salud</v>
          </cell>
          <cell r="H283" t="str">
            <v>Salud</v>
          </cell>
          <cell r="I283" t="str">
            <v>Otros</v>
          </cell>
          <cell r="J283" t="str">
            <v>Otros</v>
          </cell>
          <cell r="K283" t="str">
            <v>Desarrollo de la medicina personalizada</v>
          </cell>
          <cell r="L283" t="str">
            <v>Desarrollo de la medicina personalizada</v>
          </cell>
          <cell r="M283" t="str">
            <v>Organismo de investigación</v>
          </cell>
          <cell r="N283" t="str">
            <v>Organismo de investigación</v>
          </cell>
          <cell r="O283" t="str">
            <v>Organismo de investigación</v>
          </cell>
          <cell r="P283" t="str">
            <v>Organismo de investigación</v>
          </cell>
          <cell r="Q283" t="str">
            <v>Transferencia del conocimiento</v>
          </cell>
          <cell r="R283" t="str">
            <v>Transferencia del conocimiento</v>
          </cell>
          <cell r="S283" t="str">
            <v>NO</v>
          </cell>
          <cell r="T283" t="str">
            <v>NO</v>
          </cell>
          <cell r="U283" t="str">
            <v>No aplica</v>
          </cell>
          <cell r="V283" t="str">
            <v>NO</v>
          </cell>
          <cell r="W283" t="str">
            <v>NO</v>
          </cell>
          <cell r="Z283" t="str">
            <v>No, no tenemos intención de patentar</v>
          </cell>
          <cell r="AA283" t="str">
            <v>No, no tenemos intención de patentar</v>
          </cell>
          <cell r="AB283" t="str">
            <v>Sí, la publicación prevista es en revista científica q1</v>
          </cell>
          <cell r="AC283" t="str">
            <v>Sí, la publicación prevista es en revista científica q1</v>
          </cell>
          <cell r="AD283" t="str">
            <v>False</v>
          </cell>
        </row>
        <row r="284">
          <cell r="A284" t="str">
            <v>0011-1365-2020-000283</v>
          </cell>
          <cell r="B284" t="str">
            <v>Gestión del vacío para automatización de stocks</v>
          </cell>
          <cell r="C284">
            <v>270980.89</v>
          </cell>
          <cell r="D284">
            <v>43922</v>
          </cell>
          <cell r="E284">
            <v>44651</v>
          </cell>
          <cell r="F284" t="str">
            <v>acasanova@embega.es</v>
          </cell>
          <cell r="G284" t="str">
            <v>Automoción y mecatrónica</v>
          </cell>
          <cell r="H284" t="str">
            <v>Automoción y mecatrónica</v>
          </cell>
          <cell r="I284" t="str">
            <v>Tic</v>
          </cell>
          <cell r="J284" t="str">
            <v>Tic</v>
          </cell>
          <cell r="K284" t="str">
            <v>Transformación 4.0 de la industria navarra</v>
          </cell>
          <cell r="L284" t="str">
            <v>Transformación 4.0 de la industria navarra</v>
          </cell>
          <cell r="M284" t="str">
            <v>Empresa</v>
          </cell>
          <cell r="N284" t="str">
            <v>Empresa</v>
          </cell>
          <cell r="O284" t="str">
            <v>Mediana</v>
          </cell>
          <cell r="P284" t="str">
            <v>Mediana</v>
          </cell>
          <cell r="Q284" t="str">
            <v>Cooperativo</v>
          </cell>
          <cell r="R284" t="str">
            <v>Cooperativo</v>
          </cell>
          <cell r="S284" t="str">
            <v>SI</v>
          </cell>
          <cell r="T284" t="str">
            <v>SI</v>
          </cell>
          <cell r="U284" t="str">
            <v>15-A-256-00007210</v>
          </cell>
          <cell r="V284" t="str">
            <v>NO</v>
          </cell>
          <cell r="W284" t="str">
            <v>NO</v>
          </cell>
          <cell r="Z284" t="str">
            <v>Sí, la patente prevista es europea</v>
          </cell>
          <cell r="AA284" t="str">
            <v>Sí, la patente prevista es europea</v>
          </cell>
          <cell r="AB284" t="str">
            <v>No, no tenemos prevista publicación</v>
          </cell>
          <cell r="AC284" t="str">
            <v>No, no tenemos prevista publicación</v>
          </cell>
          <cell r="AD284" t="str">
            <v>False</v>
          </cell>
        </row>
        <row r="285">
          <cell r="A285" t="str">
            <v>0011-1365-2020-000284</v>
          </cell>
          <cell r="B285" t="str">
            <v>DISEÑO Y DESARROLLO DE SISTEMAS DE NOTIFICACIÓN VISUAL FLEXIBLES CON PROPIEDADES ÓPTICAS AVANZADAS PARA LAS HMI</v>
          </cell>
          <cell r="C285">
            <v>325385.78000000003</v>
          </cell>
          <cell r="D285">
            <v>43922</v>
          </cell>
          <cell r="E285">
            <v>44651</v>
          </cell>
          <cell r="F285" t="str">
            <v>acasanova@embega.es</v>
          </cell>
          <cell r="G285" t="str">
            <v>Automoción y mecatrónica</v>
          </cell>
          <cell r="H285" t="str">
            <v>Automoción y mecatrónica</v>
          </cell>
          <cell r="I285" t="str">
            <v>Manufactura avanzada</v>
          </cell>
          <cell r="J285" t="str">
            <v>Manufactura avanzada</v>
          </cell>
          <cell r="K285" t="str">
            <v>Transformación 4.0 de la industria navarra</v>
          </cell>
          <cell r="L285" t="str">
            <v>Transformación 4.0 de la industria navarra</v>
          </cell>
          <cell r="M285" t="str">
            <v>Empresa</v>
          </cell>
          <cell r="N285" t="str">
            <v>Empresa</v>
          </cell>
          <cell r="O285" t="str">
            <v>Mediana</v>
          </cell>
          <cell r="P285" t="str">
            <v>Mediana</v>
          </cell>
          <cell r="Q285" t="str">
            <v>Transferencia del conocimiento</v>
          </cell>
          <cell r="R285" t="str">
            <v>Transferencia del conocimiento</v>
          </cell>
          <cell r="S285" t="str">
            <v>SI</v>
          </cell>
          <cell r="T285" t="str">
            <v>SI</v>
          </cell>
          <cell r="U285" t="str">
            <v>15-A-256-00007210</v>
          </cell>
          <cell r="V285" t="str">
            <v>NO</v>
          </cell>
          <cell r="W285" t="str">
            <v>NO</v>
          </cell>
          <cell r="Z285" t="str">
            <v>Sí, la patente prevista es europea</v>
          </cell>
          <cell r="AA285" t="str">
            <v>Sí, la patente prevista es europea</v>
          </cell>
          <cell r="AB285" t="str">
            <v>Sí, la publicación prevista es en revista científica q1</v>
          </cell>
          <cell r="AC285" t="str">
            <v>Sí, la publicación prevista es en revista científica q1</v>
          </cell>
          <cell r="AD285" t="str">
            <v>False</v>
          </cell>
        </row>
        <row r="286">
          <cell r="A286" t="str">
            <v>0011-1365-2020-000285</v>
          </cell>
          <cell r="B286" t="str">
            <v xml:space="preserve"> célulA Robótica para el pulIdo piezaS estrucTurales de metAl duro del sectoR aeronáutiCO - ARISTARCO </v>
          </cell>
          <cell r="C286">
            <v>245221.25</v>
          </cell>
          <cell r="D286">
            <v>43922</v>
          </cell>
          <cell r="E286">
            <v>44651</v>
          </cell>
          <cell r="F286" t="str">
            <v>administracion@aldakin.com</v>
          </cell>
          <cell r="G286" t="str">
            <v>Automoción y mecatrónica</v>
          </cell>
          <cell r="H286" t="str">
            <v>Automoción y mecatrónica</v>
          </cell>
          <cell r="I286" t="str">
            <v>Manufactura avanzada</v>
          </cell>
          <cell r="J286" t="str">
            <v>Manufactura avanzada</v>
          </cell>
          <cell r="K286" t="str">
            <v>Transformación 4.0 de la industria navarra</v>
          </cell>
          <cell r="L286" t="str">
            <v>Transformación 4.0 de la industria navarra</v>
          </cell>
          <cell r="M286" t="str">
            <v>Empresa</v>
          </cell>
          <cell r="N286" t="str">
            <v>Empresa</v>
          </cell>
          <cell r="O286" t="str">
            <v>Mediana</v>
          </cell>
          <cell r="P286" t="str">
            <v>Mediana</v>
          </cell>
          <cell r="Q286" t="str">
            <v>Transferencia del conocimiento</v>
          </cell>
          <cell r="R286" t="str">
            <v>Transferencia del conocimiento</v>
          </cell>
          <cell r="S286" t="str">
            <v>SI</v>
          </cell>
          <cell r="T286" t="str">
            <v>SI</v>
          </cell>
          <cell r="U286" t="str">
            <v>15-C-181-00060055</v>
          </cell>
          <cell r="V286" t="str">
            <v>NO</v>
          </cell>
          <cell r="W286" t="str">
            <v>NO</v>
          </cell>
          <cell r="Z286" t="str">
            <v>No, no tenemos intención de patentar</v>
          </cell>
          <cell r="AA286" t="str">
            <v>No, no tenemos intención de patentar</v>
          </cell>
          <cell r="AB286" t="str">
            <v>Sí, la publicación prevista es en revista científica q1</v>
          </cell>
          <cell r="AC286" t="str">
            <v>Sí, la publicación prevista es en revista científica q1</v>
          </cell>
          <cell r="AD286" t="str">
            <v>False</v>
          </cell>
        </row>
        <row r="287">
          <cell r="A287" t="str">
            <v>0011-1365-2020-000286</v>
          </cell>
          <cell r="B287" t="str">
            <v>INVESTIGACIÓN Y DESARROLLO DE UNA NUEVA TECNOLOGÍA ANTIDESLIZAMIENTO</v>
          </cell>
          <cell r="C287">
            <v>507038.6</v>
          </cell>
          <cell r="D287">
            <v>43922</v>
          </cell>
          <cell r="E287">
            <v>44561</v>
          </cell>
          <cell r="F287" t="str">
            <v>r.urdaniz@semicsa.com</v>
          </cell>
          <cell r="G287" t="str">
            <v>Automoción y mecatrónica</v>
          </cell>
          <cell r="H287" t="str">
            <v>Automoción y mecatrónica</v>
          </cell>
          <cell r="I287" t="str">
            <v>Manufactura avanzada</v>
          </cell>
          <cell r="J287" t="str">
            <v>Manufactura avanzada</v>
          </cell>
          <cell r="K287" t="str">
            <v>Transformación 4.0 de la industria navarra</v>
          </cell>
          <cell r="L287" t="str">
            <v>Transformación 4.0 de la industria navarra</v>
          </cell>
          <cell r="M287" t="str">
            <v>Empresa</v>
          </cell>
          <cell r="N287" t="str">
            <v>Empresa</v>
          </cell>
          <cell r="O287" t="str">
            <v>Pequeña</v>
          </cell>
          <cell r="P287" t="str">
            <v>Pequeña</v>
          </cell>
          <cell r="Q287" t="str">
            <v>Individual</v>
          </cell>
          <cell r="R287" t="str">
            <v>Individual</v>
          </cell>
          <cell r="S287" t="str">
            <v>SI</v>
          </cell>
          <cell r="T287" t="str">
            <v>SI</v>
          </cell>
          <cell r="U287" t="str">
            <v>15-A-257-00005736</v>
          </cell>
          <cell r="V287" t="str">
            <v>NO</v>
          </cell>
          <cell r="W287" t="str">
            <v>NO</v>
          </cell>
          <cell r="Z287" t="str">
            <v>Sí, la patente prevista es europea</v>
          </cell>
          <cell r="AA287" t="str">
            <v>Sí, la patente prevista es europea</v>
          </cell>
          <cell r="AB287" t="str">
            <v>No, no tenemos prevista publicación</v>
          </cell>
          <cell r="AC287" t="str">
            <v>No, no tenemos prevista publicación</v>
          </cell>
          <cell r="AD287" t="str">
            <v>False</v>
          </cell>
        </row>
        <row r="288">
          <cell r="A288" t="str">
            <v>0011-1365-2020-000287</v>
          </cell>
          <cell r="B288" t="str">
            <v>Quimerismo inter-especie y edición génica en embriones de cerdo: QuimPig</v>
          </cell>
          <cell r="C288">
            <v>187222</v>
          </cell>
          <cell r="D288">
            <v>43922</v>
          </cell>
          <cell r="E288">
            <v>44651</v>
          </cell>
          <cell r="F288" t="str">
            <v>l.navarro@alecos.com</v>
          </cell>
          <cell r="G288" t="str">
            <v>Salud</v>
          </cell>
          <cell r="H288" t="str">
            <v>Salud</v>
          </cell>
          <cell r="I288" t="str">
            <v>Biotecnología</v>
          </cell>
          <cell r="J288" t="str">
            <v>Biotecnología</v>
          </cell>
          <cell r="K288" t="str">
            <v>Desarrollo de la medicina personalizada</v>
          </cell>
          <cell r="L288" t="str">
            <v>Desarrollo de la medicina personalizada</v>
          </cell>
          <cell r="M288" t="str">
            <v>Empresa</v>
          </cell>
          <cell r="N288" t="str">
            <v>Empresa</v>
          </cell>
          <cell r="O288" t="str">
            <v>Mediana</v>
          </cell>
          <cell r="P288" t="str">
            <v>Mediana</v>
          </cell>
          <cell r="Q288" t="str">
            <v>Transferencia del conocimiento</v>
          </cell>
          <cell r="R288" t="str">
            <v>Transferencia del conocimiento</v>
          </cell>
          <cell r="S288" t="str">
            <v>NO</v>
          </cell>
          <cell r="T288" t="str">
            <v>NO</v>
          </cell>
          <cell r="U288" t="str">
            <v>NO esta obligada</v>
          </cell>
          <cell r="V288" t="str">
            <v>NO</v>
          </cell>
          <cell r="W288" t="str">
            <v>NO</v>
          </cell>
          <cell r="Z288" t="str">
            <v>No, no tenemos intención de patentar</v>
          </cell>
          <cell r="AA288" t="str">
            <v>No, no tenemos intención de patentar</v>
          </cell>
          <cell r="AB288" t="str">
            <v>No, no tenemos prevista publicación</v>
          </cell>
          <cell r="AC288" t="str">
            <v>No, no tenemos prevista publicación</v>
          </cell>
          <cell r="AD288" t="str">
            <v>False</v>
          </cell>
        </row>
        <row r="289">
          <cell r="A289" t="str">
            <v>0011-1365-2020-000288</v>
          </cell>
          <cell r="B289" t="str">
            <v>BEEF+ Carne saludable a través de la economía circular</v>
          </cell>
          <cell r="C289">
            <v>63535</v>
          </cell>
          <cell r="D289">
            <v>43922</v>
          </cell>
          <cell r="E289">
            <v>44651</v>
          </cell>
          <cell r="F289" t="str">
            <v>info@trasa.es</v>
          </cell>
          <cell r="G289" t="str">
            <v>Cadena alimentaria</v>
          </cell>
          <cell r="H289" t="str">
            <v>Cadena alimentaria</v>
          </cell>
          <cell r="I289" t="str">
            <v>Biotecnología</v>
          </cell>
          <cell r="J289" t="str">
            <v>Biotecnología</v>
          </cell>
          <cell r="K289" t="str">
            <v>Vertebrar la cadena de valor alimentaria</v>
          </cell>
          <cell r="L289" t="str">
            <v>Vertebrar la cadena de valor alimentaria</v>
          </cell>
          <cell r="M289" t="str">
            <v>Empresa</v>
          </cell>
          <cell r="N289" t="str">
            <v>Empresa</v>
          </cell>
          <cell r="O289" t="str">
            <v>Pequeña</v>
          </cell>
          <cell r="P289" t="str">
            <v>Pequeña</v>
          </cell>
          <cell r="Q289" t="str">
            <v>Transferencia del conocimiento</v>
          </cell>
          <cell r="R289" t="str">
            <v>Transferencia del conocimiento</v>
          </cell>
          <cell r="S289" t="str">
            <v>SI</v>
          </cell>
          <cell r="T289" t="str">
            <v>SI</v>
          </cell>
          <cell r="V289" t="str">
            <v>NO</v>
          </cell>
          <cell r="W289" t="str">
            <v>NO</v>
          </cell>
          <cell r="Z289" t="str">
            <v>No, no tenemos intención de patentar</v>
          </cell>
          <cell r="AA289" t="str">
            <v>No, no tenemos intención de patentar</v>
          </cell>
          <cell r="AB289" t="str">
            <v>Sí, la publicación prevista es en revista científica q1</v>
          </cell>
          <cell r="AC289" t="str">
            <v>Sí, la publicación prevista es en revista científica q1</v>
          </cell>
          <cell r="AD289" t="str">
            <v>False</v>
          </cell>
        </row>
        <row r="290">
          <cell r="A290" t="str">
            <v>0011-1365-2020-000289</v>
          </cell>
          <cell r="B290" t="str">
            <v>Nueva Plataforma para el tratamiento personalizado del cáncer de colon [ONCO-CEBRA-GEN]</v>
          </cell>
          <cell r="C290">
            <v>406538.45</v>
          </cell>
          <cell r="D290">
            <v>43922</v>
          </cell>
          <cell r="E290" t="str">
            <v>31/02/2022</v>
          </cell>
          <cell r="F290" t="str">
            <v>ruben.diez@ikanbiotech.com</v>
          </cell>
          <cell r="G290" t="str">
            <v>Salud</v>
          </cell>
          <cell r="H290" t="str">
            <v>Salud</v>
          </cell>
          <cell r="I290" t="str">
            <v>Otros</v>
          </cell>
          <cell r="J290" t="str">
            <v>Otros</v>
          </cell>
          <cell r="K290" t="str">
            <v>Desarrollo de la medicina personalizada</v>
          </cell>
          <cell r="L290" t="str">
            <v>Desarrollo de la medicina personalizada</v>
          </cell>
          <cell r="M290" t="str">
            <v>Empresa</v>
          </cell>
          <cell r="N290" t="str">
            <v>Empresa</v>
          </cell>
          <cell r="O290" t="str">
            <v>Pequeña</v>
          </cell>
          <cell r="P290" t="str">
            <v>Pequeña</v>
          </cell>
          <cell r="Q290" t="str">
            <v>Transferencia del conocimiento</v>
          </cell>
          <cell r="R290" t="str">
            <v>Transferencia del conocimiento</v>
          </cell>
          <cell r="S290" t="str">
            <v>NO</v>
          </cell>
          <cell r="T290" t="str">
            <v>NO</v>
          </cell>
          <cell r="U290" t="str">
            <v>N/A</v>
          </cell>
          <cell r="V290" t="str">
            <v>NO</v>
          </cell>
          <cell r="W290" t="str">
            <v>NO</v>
          </cell>
          <cell r="Z290" t="str">
            <v>Sí, la patente prevista es europea</v>
          </cell>
          <cell r="AA290" t="str">
            <v>Sí, la patente prevista es europea</v>
          </cell>
          <cell r="AB290" t="str">
            <v>No, no tenemos prevista publicación</v>
          </cell>
          <cell r="AC290" t="str">
            <v>No, no tenemos prevista publicación</v>
          </cell>
          <cell r="AD290" t="str">
            <v>False</v>
          </cell>
        </row>
        <row r="291">
          <cell r="A291" t="str">
            <v>0011-1365-2020-000290</v>
          </cell>
          <cell r="B291" t="str">
            <v>DESARROLLO DE FÓRMULAS NUTRICIONALES PARA POBLACÓN PREDIABÉTICA BASADAS EN MICROORGANISMOS CON CAPACIDAD NORMOGLUCEMIANTE</v>
          </cell>
          <cell r="C291">
            <v>345422.88</v>
          </cell>
          <cell r="D291">
            <v>43922</v>
          </cell>
          <cell r="E291">
            <v>44651</v>
          </cell>
          <cell r="F291" t="str">
            <v>josune@genbioma.com</v>
          </cell>
          <cell r="G291" t="str">
            <v>Salud</v>
          </cell>
          <cell r="H291" t="str">
            <v>Salud</v>
          </cell>
          <cell r="I291" t="str">
            <v>Biotecnología</v>
          </cell>
          <cell r="J291" t="str">
            <v>Biotecnología</v>
          </cell>
          <cell r="K291" t="str">
            <v>Desarrollo de la medicina personalizada</v>
          </cell>
          <cell r="L291" t="str">
            <v>Desarrollo de la medicina personalizada</v>
          </cell>
          <cell r="M291" t="str">
            <v>Empresa</v>
          </cell>
          <cell r="N291" t="str">
            <v>Empresa</v>
          </cell>
          <cell r="O291" t="str">
            <v>Pequeña</v>
          </cell>
          <cell r="P291" t="str">
            <v>Pequeña</v>
          </cell>
          <cell r="Q291" t="str">
            <v>Transferencia del conocimiento</v>
          </cell>
          <cell r="R291" t="str">
            <v>Transferencia del conocimiento</v>
          </cell>
          <cell r="S291" t="str">
            <v>NO</v>
          </cell>
          <cell r="T291" t="str">
            <v>NO</v>
          </cell>
          <cell r="U291" t="str">
            <v>N/A</v>
          </cell>
          <cell r="V291" t="str">
            <v>NO</v>
          </cell>
          <cell r="W291" t="str">
            <v>NO</v>
          </cell>
          <cell r="Z291" t="str">
            <v>Sí, la patente prevista es europea</v>
          </cell>
          <cell r="AA291" t="str">
            <v>Sí, la patente prevista es europea</v>
          </cell>
          <cell r="AB291" t="str">
            <v>Sí, la publicación prevista es en revista científica q1</v>
          </cell>
          <cell r="AC291" t="str">
            <v>Sí, la publicación prevista es en revista científica q1</v>
          </cell>
          <cell r="AD291" t="str">
            <v>False</v>
          </cell>
        </row>
        <row r="292">
          <cell r="A292" t="str">
            <v>0011-1365-2020-000291</v>
          </cell>
          <cell r="B292" t="str">
            <v>Breathalyser</v>
          </cell>
          <cell r="C292">
            <v>188317</v>
          </cell>
          <cell r="D292">
            <v>43922</v>
          </cell>
          <cell r="E292">
            <v>44651</v>
          </cell>
          <cell r="F292" t="str">
            <v>projects@eversens.com</v>
          </cell>
          <cell r="G292" t="str">
            <v>Salud</v>
          </cell>
          <cell r="H292" t="str">
            <v>Salud</v>
          </cell>
          <cell r="I292" t="str">
            <v>Manufactura avanzada</v>
          </cell>
          <cell r="J292" t="str">
            <v>Manufactura avanzada</v>
          </cell>
          <cell r="K292" t="str">
            <v>Desarrollo de la medicina personalizada</v>
          </cell>
          <cell r="L292" t="str">
            <v>Desarrollo de la medicina personalizada</v>
          </cell>
          <cell r="M292" t="str">
            <v>Empresa</v>
          </cell>
          <cell r="N292" t="str">
            <v>Empresa</v>
          </cell>
          <cell r="O292" t="str">
            <v>Pequeña</v>
          </cell>
          <cell r="P292" t="str">
            <v>Pequeña</v>
          </cell>
          <cell r="Q292" t="str">
            <v>Transferencia del conocimiento</v>
          </cell>
          <cell r="R292" t="str">
            <v>Transferencia del conocimiento</v>
          </cell>
          <cell r="S292" t="str">
            <v>NO</v>
          </cell>
          <cell r="T292" t="str">
            <v>NO</v>
          </cell>
          <cell r="U292" t="str">
            <v>No está obligada a inscribirse en el Registro Industrial de Navarra</v>
          </cell>
          <cell r="V292" t="str">
            <v>NO</v>
          </cell>
          <cell r="W292" t="str">
            <v>NO</v>
          </cell>
          <cell r="Z292" t="str">
            <v>No, no tenemos intención de patentar</v>
          </cell>
          <cell r="AA292" t="str">
            <v>No, no tenemos intención de patentar</v>
          </cell>
          <cell r="AB292" t="str">
            <v>Sí, la publicación prevista es en revista científica q1</v>
          </cell>
          <cell r="AC292" t="str">
            <v>Sí, la publicación prevista es en revista científica q1</v>
          </cell>
          <cell r="AD292" t="str">
            <v>False</v>
          </cell>
        </row>
        <row r="293">
          <cell r="A293" t="str">
            <v>0011-1365-2020-000292</v>
          </cell>
          <cell r="B293" t="str">
            <v>Nueva Plataforma para el tratamiento personalizado del cáncer de colon [ONCO-CEBRA-GEN]</v>
          </cell>
          <cell r="C293">
            <v>406538.45</v>
          </cell>
          <cell r="D293">
            <v>43922</v>
          </cell>
          <cell r="E293">
            <v>44651</v>
          </cell>
          <cell r="F293" t="str">
            <v>ruben.diez@ikanbiotech.com</v>
          </cell>
          <cell r="G293" t="str">
            <v>Salud</v>
          </cell>
          <cell r="H293" t="str">
            <v>Salud</v>
          </cell>
          <cell r="I293" t="str">
            <v>Otros</v>
          </cell>
          <cell r="J293" t="str">
            <v>Otros</v>
          </cell>
          <cell r="K293" t="str">
            <v>Desarrollo de la medicina personalizada</v>
          </cell>
          <cell r="L293" t="str">
            <v>Desarrollo de la medicina personalizada</v>
          </cell>
          <cell r="M293" t="str">
            <v>Empresa</v>
          </cell>
          <cell r="N293" t="str">
            <v>Empresa</v>
          </cell>
          <cell r="O293" t="str">
            <v>Pequeña</v>
          </cell>
          <cell r="P293" t="str">
            <v>Pequeña</v>
          </cell>
          <cell r="Q293" t="str">
            <v>Transferencia del conocimiento</v>
          </cell>
          <cell r="R293" t="str">
            <v>Transferencia del conocimiento</v>
          </cell>
          <cell r="S293" t="str">
            <v>NO</v>
          </cell>
          <cell r="T293" t="str">
            <v>NO</v>
          </cell>
          <cell r="U293" t="str">
            <v>N/A</v>
          </cell>
          <cell r="V293" t="str">
            <v>NO</v>
          </cell>
          <cell r="W293" t="str">
            <v>NO</v>
          </cell>
          <cell r="Z293" t="str">
            <v>Sí, la patente prevista es europea</v>
          </cell>
          <cell r="AA293" t="str">
            <v>Sí, la patente prevista es europea</v>
          </cell>
          <cell r="AB293" t="str">
            <v>No, no tenemos prevista publicación</v>
          </cell>
          <cell r="AC293" t="str">
            <v>No, no tenemos prevista publicación</v>
          </cell>
          <cell r="AD293" t="str">
            <v>False</v>
          </cell>
        </row>
        <row r="294">
          <cell r="A294" t="str">
            <v>0011-1365-2020-000293</v>
          </cell>
          <cell r="B294" t="str">
            <v>Quimerismo inter-especie y edición génica en embriones de cerdo: QuimPig</v>
          </cell>
          <cell r="C294">
            <v>185872.22</v>
          </cell>
          <cell r="D294">
            <v>43922</v>
          </cell>
          <cell r="E294">
            <v>44651</v>
          </cell>
          <cell r="F294" t="str">
            <v>mmora@unav.es</v>
          </cell>
          <cell r="G294" t="str">
            <v>Salud</v>
          </cell>
          <cell r="H294" t="str">
            <v>Salud</v>
          </cell>
          <cell r="I294" t="str">
            <v>Biotecnología</v>
          </cell>
          <cell r="J294" t="str">
            <v>Biotecnología</v>
          </cell>
          <cell r="K294" t="str">
            <v>Desarrollo de la medicina personalizada</v>
          </cell>
          <cell r="L294" t="str">
            <v>Desarrollo de la medicina personalizada</v>
          </cell>
          <cell r="M294" t="str">
            <v>Organismo de investigación</v>
          </cell>
          <cell r="N294" t="str">
            <v>Organismo de investigación</v>
          </cell>
          <cell r="O294" t="str">
            <v>Organismo de investigación</v>
          </cell>
          <cell r="P294" t="str">
            <v>Organismo de investigación</v>
          </cell>
          <cell r="Q294" t="str">
            <v>Transferencia del conocimiento</v>
          </cell>
          <cell r="R294" t="str">
            <v>Transferencia del conocimiento</v>
          </cell>
          <cell r="S294" t="str">
            <v>NO</v>
          </cell>
          <cell r="T294" t="str">
            <v>NO</v>
          </cell>
          <cell r="U294" t="str">
            <v>No aplica</v>
          </cell>
          <cell r="V294" t="str">
            <v>NO</v>
          </cell>
          <cell r="W294" t="str">
            <v>NO</v>
          </cell>
          <cell r="X294" t="str">
            <v>No aplica</v>
          </cell>
          <cell r="Y294" t="str">
            <v>No aplica</v>
          </cell>
          <cell r="Z294" t="str">
            <v>No, no tenemos intención de patentar</v>
          </cell>
          <cell r="AA294" t="str">
            <v>No, no tenemos intención de patentar</v>
          </cell>
          <cell r="AB294" t="str">
            <v>Sí, la publicación prevista es en revista científica q1</v>
          </cell>
          <cell r="AC294" t="str">
            <v>Sí, la publicación prevista es en revista científica q1</v>
          </cell>
          <cell r="AD294" t="str">
            <v>False</v>
          </cell>
        </row>
        <row r="295">
          <cell r="A295" t="str">
            <v>0011-1365-2020-000294</v>
          </cell>
          <cell r="B295" t="str">
            <v>Perfilado de materiales de altas prestaciones para el sector transporte (ROLL4.0MING)</v>
          </cell>
          <cell r="C295">
            <v>250857.8</v>
          </cell>
          <cell r="D295">
            <v>43922</v>
          </cell>
          <cell r="E295">
            <v>44651</v>
          </cell>
          <cell r="F295" t="str">
            <v>jcastillo@seytec.es</v>
          </cell>
          <cell r="G295" t="str">
            <v>Automoción y mecatrónica</v>
          </cell>
          <cell r="H295" t="str">
            <v>Automoción y mecatrónica</v>
          </cell>
          <cell r="I295" t="str">
            <v>Manufactura avanzada</v>
          </cell>
          <cell r="J295" t="str">
            <v>Manufactura avanzada</v>
          </cell>
          <cell r="K295" t="str">
            <v>Transformación 4.0 de la industria navarra</v>
          </cell>
          <cell r="L295" t="str">
            <v>Transformación 4.0 de la industria navarra</v>
          </cell>
          <cell r="M295" t="str">
            <v>Empresa</v>
          </cell>
          <cell r="N295" t="str">
            <v>Empresa</v>
          </cell>
          <cell r="O295" t="str">
            <v>Pequeña</v>
          </cell>
          <cell r="P295" t="str">
            <v>Pequeña</v>
          </cell>
          <cell r="Q295" t="str">
            <v>Cooperativo</v>
          </cell>
          <cell r="R295" t="str">
            <v>Cooperativo</v>
          </cell>
          <cell r="S295" t="str">
            <v>SI</v>
          </cell>
          <cell r="T295" t="str">
            <v>SI</v>
          </cell>
          <cell r="U295" t="str">
            <v>15-B-B00-00061309</v>
          </cell>
          <cell r="V295" t="str">
            <v>NO</v>
          </cell>
          <cell r="W295" t="str">
            <v>NO</v>
          </cell>
          <cell r="Z295" t="str">
            <v>Sí, la patente prevista es europea</v>
          </cell>
          <cell r="AA295" t="str">
            <v>Sí, la patente prevista es europea</v>
          </cell>
          <cell r="AB295" t="str">
            <v>No, no tenemos prevista publicación</v>
          </cell>
          <cell r="AC295" t="str">
            <v>No, no tenemos prevista publicación</v>
          </cell>
          <cell r="AD295" t="str">
            <v>False</v>
          </cell>
        </row>
        <row r="296">
          <cell r="A296" t="str">
            <v>0011-1365-2020-000295</v>
          </cell>
          <cell r="B296" t="str">
            <v>Desarrollo de una Bio-Impresora 3D para la generación de organoides tumorales en matrices biomiméticas  (TUMORPRINT-3D)</v>
          </cell>
          <cell r="C296">
            <v>138099.75</v>
          </cell>
          <cell r="D296">
            <v>43922</v>
          </cell>
          <cell r="E296">
            <v>44651</v>
          </cell>
          <cell r="F296" t="str">
            <v>mmora@unav.es</v>
          </cell>
          <cell r="G296" t="str">
            <v>Salud</v>
          </cell>
          <cell r="H296" t="str">
            <v>Salud</v>
          </cell>
          <cell r="I296" t="str">
            <v>Biotecnología</v>
          </cell>
          <cell r="J296" t="str">
            <v>Biotecnología</v>
          </cell>
          <cell r="K296" t="str">
            <v>Desarrollo de la medicina personalizada</v>
          </cell>
          <cell r="L296" t="str">
            <v>Desarrollo de la medicina personalizada</v>
          </cell>
          <cell r="M296" t="str">
            <v>Organismo de investigación</v>
          </cell>
          <cell r="N296" t="str">
            <v>Organismo de investigación</v>
          </cell>
          <cell r="O296" t="str">
            <v>Organismo de investigación</v>
          </cell>
          <cell r="P296" t="str">
            <v>Organismo de investigación</v>
          </cell>
          <cell r="Q296" t="str">
            <v>Transferencia del conocimiento</v>
          </cell>
          <cell r="R296" t="str">
            <v>Transferencia del conocimiento</v>
          </cell>
          <cell r="S296" t="str">
            <v>NO</v>
          </cell>
          <cell r="T296" t="str">
            <v>NO</v>
          </cell>
          <cell r="U296" t="str">
            <v>No Aplica</v>
          </cell>
          <cell r="V296" t="str">
            <v>NO</v>
          </cell>
          <cell r="W296" t="str">
            <v>NO</v>
          </cell>
          <cell r="X296" t="str">
            <v>No aplica</v>
          </cell>
          <cell r="Y296" t="str">
            <v>No aplica</v>
          </cell>
          <cell r="Z296" t="str">
            <v>No, no tenemos intención de patentar</v>
          </cell>
          <cell r="AA296" t="str">
            <v>No, no tenemos intención de patentar</v>
          </cell>
          <cell r="AB296" t="str">
            <v>Sí, la publicación prevista es en revista científica q1</v>
          </cell>
          <cell r="AC296" t="str">
            <v>Sí, la publicación prevista es en revista científica q1</v>
          </cell>
          <cell r="AD296" t="str">
            <v>False</v>
          </cell>
        </row>
        <row r="297">
          <cell r="A297" t="str">
            <v>0011-1365-2020-000296</v>
          </cell>
          <cell r="B297" t="str">
            <v>DISEÑO Y DESARROLLO DE SOPORTES DE FRENO DE MÁXIMA CALIDAD MEDIANTE CONFORMADO DE ALTO CONTROL [WAVE-PLATE]</v>
          </cell>
          <cell r="C297">
            <v>251711.54</v>
          </cell>
          <cell r="D297">
            <v>43922</v>
          </cell>
          <cell r="E297">
            <v>44651</v>
          </cell>
          <cell r="F297" t="str">
            <v>Carmen.Goyenaga@nuadi.com</v>
          </cell>
          <cell r="G297" t="str">
            <v>Automoción y mecatrónica</v>
          </cell>
          <cell r="H297" t="str">
            <v>Automoción y mecatrónica</v>
          </cell>
          <cell r="I297" t="str">
            <v>Manufactura avanzada</v>
          </cell>
          <cell r="J297" t="str">
            <v>Manufactura avanzada</v>
          </cell>
          <cell r="K297" t="str">
            <v>Transformación 4.0 de la industria navarra</v>
          </cell>
          <cell r="L297" t="str">
            <v>Transformación 4.0 de la industria navarra</v>
          </cell>
          <cell r="M297" t="str">
            <v>Empresa</v>
          </cell>
          <cell r="N297" t="str">
            <v>Empresa</v>
          </cell>
          <cell r="O297" t="str">
            <v>Grande</v>
          </cell>
          <cell r="P297" t="str">
            <v>Grande</v>
          </cell>
          <cell r="Q297" t="str">
            <v>Individual</v>
          </cell>
          <cell r="R297" t="str">
            <v>Individual</v>
          </cell>
          <cell r="S297" t="str">
            <v>SI</v>
          </cell>
          <cell r="T297" t="str">
            <v>SI</v>
          </cell>
          <cell r="U297" t="str">
            <v>15-A-255-00010733</v>
          </cell>
          <cell r="V297" t="str">
            <v>NO</v>
          </cell>
          <cell r="W297" t="str">
            <v>NO</v>
          </cell>
          <cell r="Z297" t="str">
            <v>No, no tenemos intención de patentar</v>
          </cell>
          <cell r="AA297" t="str">
            <v>No, no tenemos intención de patentar</v>
          </cell>
          <cell r="AB297" t="str">
            <v>Sí, la publicación prevista es en revista científica q1</v>
          </cell>
          <cell r="AC297" t="str">
            <v>Sí, la publicación prevista es en revista científica q1</v>
          </cell>
          <cell r="AD297" t="str">
            <v>False</v>
          </cell>
        </row>
        <row r="298">
          <cell r="A298" t="str">
            <v>0011-1365-2020-000297</v>
          </cell>
          <cell r="B298" t="str">
            <v>Desarrollo de nuevos bioinsecticidas basados en Bacillus thuringiensis (Bt) para el control del mosquito tigre (Aedes albopictus) y optimización de la producción de toxinas</v>
          </cell>
          <cell r="C298">
            <v>208386</v>
          </cell>
          <cell r="D298">
            <v>44075</v>
          </cell>
          <cell r="E298">
            <v>44651</v>
          </cell>
          <cell r="F298" t="str">
            <v>info@bioinsectis.com</v>
          </cell>
          <cell r="G298" t="str">
            <v>Salud</v>
          </cell>
          <cell r="H298" t="str">
            <v>Salud</v>
          </cell>
          <cell r="I298" t="str">
            <v>Biotecnología</v>
          </cell>
          <cell r="J298" t="str">
            <v>Biotecnología</v>
          </cell>
          <cell r="K298" t="str">
            <v>Otros</v>
          </cell>
          <cell r="L298" t="str">
            <v>Otros</v>
          </cell>
          <cell r="M298" t="str">
            <v>Empresa</v>
          </cell>
          <cell r="N298" t="str">
            <v>Empresa</v>
          </cell>
          <cell r="O298" t="str">
            <v>Pequeña</v>
          </cell>
          <cell r="P298" t="str">
            <v>Pequeña</v>
          </cell>
          <cell r="Q298" t="str">
            <v>Transferencia del conocimiento</v>
          </cell>
          <cell r="R298" t="str">
            <v>Transferencia del conocimiento</v>
          </cell>
          <cell r="S298" t="str">
            <v>NO</v>
          </cell>
          <cell r="T298" t="str">
            <v>NO</v>
          </cell>
          <cell r="U298" t="str">
            <v>No tiene obligación</v>
          </cell>
          <cell r="V298" t="str">
            <v>NO</v>
          </cell>
          <cell r="W298" t="str">
            <v>NO</v>
          </cell>
          <cell r="Z298" t="str">
            <v>No, no tenemos intención de patentar</v>
          </cell>
          <cell r="AA298" t="str">
            <v>No, no tenemos intención de patentar</v>
          </cell>
          <cell r="AB298" t="str">
            <v>Sí, la publicación prevista es en revista científica q1</v>
          </cell>
          <cell r="AC298" t="str">
            <v>Sí, la publicación prevista es en revista científica q1</v>
          </cell>
          <cell r="AD298" t="str">
            <v>False</v>
          </cell>
        </row>
        <row r="299">
          <cell r="A299" t="str">
            <v>0011-1365-2020-000298</v>
          </cell>
          <cell r="B299" t="str">
            <v>Desarrollo de pan rústico de máxima calidad enriquecido con nuevos ingredientes de alto valor nutritivo</v>
          </cell>
          <cell r="C299">
            <v>176391.8</v>
          </cell>
          <cell r="D299">
            <v>43922</v>
          </cell>
          <cell r="E299">
            <v>44469</v>
          </cell>
          <cell r="F299" t="str">
            <v>administracion@gabarcos.es</v>
          </cell>
          <cell r="G299" t="str">
            <v>Cadena alimentaria</v>
          </cell>
          <cell r="H299" t="str">
            <v>Cadena alimentaria</v>
          </cell>
          <cell r="I299" t="str">
            <v>Otros</v>
          </cell>
          <cell r="J299" t="str">
            <v>Otros</v>
          </cell>
          <cell r="K299" t="str">
            <v>Apuesta por la alimentación saludable</v>
          </cell>
          <cell r="L299" t="str">
            <v>Apuesta por la alimentación saludable</v>
          </cell>
          <cell r="M299" t="str">
            <v>Empresa</v>
          </cell>
          <cell r="N299" t="str">
            <v>Empresa</v>
          </cell>
          <cell r="O299" t="str">
            <v>Pequeña</v>
          </cell>
          <cell r="P299" t="str">
            <v>Pequeña</v>
          </cell>
          <cell r="Q299" t="str">
            <v>Individual</v>
          </cell>
          <cell r="R299" t="str">
            <v>Individual</v>
          </cell>
          <cell r="S299" t="str">
            <v>SI</v>
          </cell>
          <cell r="T299" t="str">
            <v>SI</v>
          </cell>
          <cell r="U299" t="str">
            <v>15-A-107-00041232</v>
          </cell>
          <cell r="V299" t="str">
            <v>NO</v>
          </cell>
          <cell r="W299" t="str">
            <v>NO</v>
          </cell>
          <cell r="Z299" t="str">
            <v>No, no tenemos intención de patentar</v>
          </cell>
          <cell r="AA299" t="str">
            <v>No, no tenemos intención de patentar</v>
          </cell>
          <cell r="AB299" t="str">
            <v>No, no tenemos prevista publicación</v>
          </cell>
          <cell r="AC299" t="str">
            <v>No, no tenemos prevista publicación</v>
          </cell>
          <cell r="AD299" t="str">
            <v>False</v>
          </cell>
        </row>
        <row r="300">
          <cell r="A300" t="str">
            <v>0011-1365-2020-000299</v>
          </cell>
          <cell r="B300" t="str">
            <v>DESARROLLO DE TUBOS NORMALIZADOS DE ALTO VALOR AÑADIDO MEDIANTE INNOVADORES MÉTODOS DE COMPATIBILIDAD Y ESTIRABILIDAD</v>
          </cell>
          <cell r="C300">
            <v>211935.35</v>
          </cell>
          <cell r="D300">
            <v>43922</v>
          </cell>
          <cell r="E300">
            <v>44651</v>
          </cell>
          <cell r="F300" t="str">
            <v>igarciav@zalain.condesa.com</v>
          </cell>
          <cell r="G300" t="str">
            <v>Automoción y mecatrónica</v>
          </cell>
          <cell r="H300" t="str">
            <v>Automoción y mecatrónica</v>
          </cell>
          <cell r="I300" t="str">
            <v>Manufactura avanzada</v>
          </cell>
          <cell r="J300" t="str">
            <v>Manufactura avanzada</v>
          </cell>
          <cell r="K300" t="str">
            <v>Transformación 4.0 de la industria navarra</v>
          </cell>
          <cell r="L300" t="str">
            <v>Transformación 4.0 de la industria navarra</v>
          </cell>
          <cell r="M300" t="str">
            <v>Empresa</v>
          </cell>
          <cell r="N300" t="str">
            <v>Empresa</v>
          </cell>
          <cell r="O300" t="str">
            <v>Grande</v>
          </cell>
          <cell r="P300" t="str">
            <v>Grande</v>
          </cell>
          <cell r="Q300" t="str">
            <v>Transferencia del conocimiento</v>
          </cell>
          <cell r="R300" t="str">
            <v>Transferencia del conocimiento</v>
          </cell>
          <cell r="S300" t="str">
            <v>SI</v>
          </cell>
          <cell r="T300" t="str">
            <v>SI</v>
          </cell>
          <cell r="U300" t="str">
            <v>15-A-242-00012236</v>
          </cell>
          <cell r="V300" t="str">
            <v>NO</v>
          </cell>
          <cell r="W300" t="str">
            <v>NO</v>
          </cell>
          <cell r="Z300" t="str">
            <v>No, no tenemos intención de patentar</v>
          </cell>
          <cell r="AA300" t="str">
            <v>No, no tenemos intención de patentar</v>
          </cell>
          <cell r="AB300" t="str">
            <v>Sí, la publicación prevista es en revista científica q1</v>
          </cell>
          <cell r="AC300" t="str">
            <v>Sí, la publicación prevista es en revista científica q1</v>
          </cell>
          <cell r="AD300" t="str">
            <v>False</v>
          </cell>
        </row>
        <row r="301">
          <cell r="A301" t="str">
            <v>0011-1365-2020-000300</v>
          </cell>
          <cell r="B301" t="str">
            <v>Cabina Modular I 4.0</v>
          </cell>
          <cell r="C301">
            <v>190834</v>
          </cell>
          <cell r="D301">
            <v>43922</v>
          </cell>
          <cell r="E301">
            <v>44651</v>
          </cell>
          <cell r="F301" t="str">
            <v>juanan.ruiz@nadetech.com</v>
          </cell>
          <cell r="G301" t="str">
            <v>Automoción y mecatrónica</v>
          </cell>
          <cell r="H301" t="str">
            <v>Automoción y mecatrónica</v>
          </cell>
          <cell r="I301" t="str">
            <v>Manufactura avanzada</v>
          </cell>
          <cell r="J301" t="str">
            <v>Manufactura avanzada</v>
          </cell>
          <cell r="K301" t="str">
            <v>Transformación 4.0 de la industria navarra</v>
          </cell>
          <cell r="L301" t="str">
            <v>Transformación 4.0 de la industria navarra</v>
          </cell>
          <cell r="M301" t="str">
            <v>Empresa</v>
          </cell>
          <cell r="N301" t="str">
            <v>Empresa</v>
          </cell>
          <cell r="O301" t="str">
            <v>Pequeña</v>
          </cell>
          <cell r="P301" t="str">
            <v>Pequeña</v>
          </cell>
          <cell r="Q301" t="str">
            <v>Individual</v>
          </cell>
          <cell r="R301" t="str">
            <v>Individual</v>
          </cell>
          <cell r="S301" t="str">
            <v>SI</v>
          </cell>
          <cell r="T301" t="str">
            <v>SI</v>
          </cell>
          <cell r="V301" t="str">
            <v>NO</v>
          </cell>
          <cell r="W301" t="str">
            <v>NO</v>
          </cell>
          <cell r="Z301" t="str">
            <v>No, no tenemos intención de patentar</v>
          </cell>
          <cell r="AA301" t="str">
            <v>No, no tenemos intención de patentar</v>
          </cell>
          <cell r="AB301" t="str">
            <v>No, no tenemos prevista publicación</v>
          </cell>
          <cell r="AC301" t="str">
            <v>No, no tenemos prevista publicación</v>
          </cell>
          <cell r="AD301" t="str">
            <v>False</v>
          </cell>
        </row>
        <row r="302">
          <cell r="A302" t="str">
            <v>0011-1365-2020-000301</v>
          </cell>
          <cell r="B302" t="str">
            <v xml:space="preserve">Investigación de nuevas técnicas vitícolas y enológicas para la obtención de un mayor equilibrio entre la maduración fisiológica y la fenólica en variedades tintas propias de Navarra en un contexto de cambio climático (ADAPT-VIT). </v>
          </cell>
          <cell r="C302">
            <v>259160</v>
          </cell>
          <cell r="D302">
            <v>43922</v>
          </cell>
          <cell r="E302">
            <v>44651</v>
          </cell>
          <cell r="F302" t="str">
            <v>jarce@grma.masaveu.com</v>
          </cell>
          <cell r="G302" t="str">
            <v>Cadena alimentaria</v>
          </cell>
          <cell r="H302" t="str">
            <v>Cadena alimentaria</v>
          </cell>
          <cell r="I302" t="str">
            <v>Biotecnología</v>
          </cell>
          <cell r="J302" t="str">
            <v>Biotecnología</v>
          </cell>
          <cell r="K302" t="str">
            <v>Vertebrar la cadena de valor alimentaria</v>
          </cell>
          <cell r="L302" t="str">
            <v>Vertebrar la cadena de valor alimentaria</v>
          </cell>
          <cell r="M302" t="str">
            <v>Empresa</v>
          </cell>
          <cell r="N302" t="str">
            <v>Empresa</v>
          </cell>
          <cell r="O302" t="str">
            <v>Grande</v>
          </cell>
          <cell r="P302" t="str">
            <v>Grande</v>
          </cell>
          <cell r="Q302" t="str">
            <v>Transferencia del conocimiento</v>
          </cell>
          <cell r="R302" t="str">
            <v>Transferencia del conocimiento</v>
          </cell>
          <cell r="T302" t="str">
            <v>Seleccionar...</v>
          </cell>
          <cell r="V302" t="str">
            <v>NO</v>
          </cell>
          <cell r="W302" t="str">
            <v>NO</v>
          </cell>
          <cell r="Z302" t="str">
            <v>No, no tenemos intención de patentar</v>
          </cell>
          <cell r="AA302" t="str">
            <v>No, no tenemos intención de patentar</v>
          </cell>
          <cell r="AB302" t="str">
            <v>Sí, la publicación prevista es en revista científica q1</v>
          </cell>
          <cell r="AC302" t="str">
            <v>Sí, la publicación prevista es en revista científica q1</v>
          </cell>
          <cell r="AD302" t="str">
            <v>False</v>
          </cell>
        </row>
        <row r="303">
          <cell r="A303" t="str">
            <v>0011-1365-2020-000302</v>
          </cell>
          <cell r="B303" t="str">
            <v>RESCUE ON WORK</v>
          </cell>
          <cell r="C303">
            <v>49647.76</v>
          </cell>
          <cell r="D303">
            <v>44013</v>
          </cell>
          <cell r="E303">
            <v>44377</v>
          </cell>
          <cell r="F303" t="str">
            <v>pablo@nubbagroup.com</v>
          </cell>
          <cell r="G303" t="str">
            <v>Automoción y mecatrónica</v>
          </cell>
          <cell r="H303" t="str">
            <v>Automoción y mecatrónica</v>
          </cell>
          <cell r="I303" t="str">
            <v>Manufactura avanzada</v>
          </cell>
          <cell r="J303" t="str">
            <v>Manufactura avanzada</v>
          </cell>
          <cell r="K303" t="str">
            <v>Transformación 4.0 de la industria navarra</v>
          </cell>
          <cell r="L303" t="str">
            <v>Transformación 4.0 de la industria navarra</v>
          </cell>
          <cell r="M303" t="str">
            <v>Empresa</v>
          </cell>
          <cell r="N303" t="str">
            <v>Empresa</v>
          </cell>
          <cell r="O303" t="str">
            <v>Pequeña</v>
          </cell>
          <cell r="P303" t="str">
            <v>Pequeña</v>
          </cell>
          <cell r="Q303" t="str">
            <v>Individual</v>
          </cell>
          <cell r="R303" t="str">
            <v>Individual</v>
          </cell>
          <cell r="S303" t="str">
            <v>NO</v>
          </cell>
          <cell r="T303" t="str">
            <v>NO</v>
          </cell>
          <cell r="U303" t="str">
            <v>NO ES NECESARIO</v>
          </cell>
          <cell r="V303" t="str">
            <v>NO</v>
          </cell>
          <cell r="W303" t="str">
            <v>NO</v>
          </cell>
          <cell r="Z303" t="str">
            <v>No, no tenemos intención de patentar</v>
          </cell>
          <cell r="AA303" t="str">
            <v>No, no tenemos intención de patentar</v>
          </cell>
          <cell r="AB303" t="str">
            <v>No, no tenemos prevista publicación</v>
          </cell>
          <cell r="AC303" t="str">
            <v>No, no tenemos prevista publicación</v>
          </cell>
          <cell r="AD303" t="str">
            <v>False</v>
          </cell>
        </row>
        <row r="304">
          <cell r="A304" t="str">
            <v>0011-1365-2020-000303</v>
          </cell>
          <cell r="B304" t="str">
            <v xml:space="preserve">FORMULACIONES DE MEZCLAS SOLIDAS EDULCORANTES PARA LA DISMINUCION O ELIMINACION DE AZUCAR (SACAROSA) EN LA ELABORACION DE SALSAS DE TOMATE, MERMELADAS Y SIROPES </v>
          </cell>
          <cell r="C304">
            <v>181694.02</v>
          </cell>
          <cell r="D304">
            <v>43922</v>
          </cell>
          <cell r="E304">
            <v>44651</v>
          </cell>
          <cell r="F304" t="str">
            <v>contabilidad@bsedulcorantes.com</v>
          </cell>
          <cell r="G304" t="str">
            <v>Cadena alimentaria</v>
          </cell>
          <cell r="H304" t="str">
            <v>Cadena alimentaria</v>
          </cell>
          <cell r="I304" t="str">
            <v>Biotecnología</v>
          </cell>
          <cell r="J304" t="str">
            <v>Biotecnología</v>
          </cell>
          <cell r="K304" t="str">
            <v>Apuesta por la alimentación saludable</v>
          </cell>
          <cell r="L304" t="str">
            <v>Apuesta por la alimentación saludable</v>
          </cell>
          <cell r="M304" t="str">
            <v>Empresa</v>
          </cell>
          <cell r="N304" t="str">
            <v>Empresa</v>
          </cell>
          <cell r="O304" t="str">
            <v>Pequeña</v>
          </cell>
          <cell r="P304" t="str">
            <v>Pequeña</v>
          </cell>
          <cell r="Q304" t="str">
            <v>Individual</v>
          </cell>
          <cell r="R304" t="str">
            <v>Individual</v>
          </cell>
          <cell r="S304" t="str">
            <v>SI</v>
          </cell>
          <cell r="T304" t="str">
            <v>SI</v>
          </cell>
          <cell r="V304" t="str">
            <v>NO</v>
          </cell>
          <cell r="W304" t="str">
            <v>NO</v>
          </cell>
          <cell r="Z304" t="str">
            <v>Sí, la patente prevista es nacional</v>
          </cell>
          <cell r="AA304" t="str">
            <v>Sí, la patente prevista es nacional</v>
          </cell>
          <cell r="AB304" t="str">
            <v>Sí, la publicación prevista es en revista científica</v>
          </cell>
          <cell r="AC304" t="str">
            <v>Sí, la publicación prevista es en revista científica</v>
          </cell>
          <cell r="AD304" t="str">
            <v>False</v>
          </cell>
        </row>
        <row r="305">
          <cell r="A305" t="str">
            <v>0011-1365-2020-000304</v>
          </cell>
          <cell r="B305" t="str">
            <v>Perfilado de materiales de altas prestaciones para el sector transporte (ROLL4.0MING)</v>
          </cell>
          <cell r="C305">
            <v>311065</v>
          </cell>
          <cell r="D305">
            <v>43922</v>
          </cell>
          <cell r="E305">
            <v>44651</v>
          </cell>
          <cell r="F305" t="str">
            <v>financiero@perfinasa.com</v>
          </cell>
          <cell r="G305" t="str">
            <v>Automoción y mecatrónica</v>
          </cell>
          <cell r="H305" t="str">
            <v>Automoción y mecatrónica</v>
          </cell>
          <cell r="I305" t="str">
            <v>Manufactura avanzada</v>
          </cell>
          <cell r="J305" t="str">
            <v>Manufactura avanzada</v>
          </cell>
          <cell r="K305" t="str">
            <v>Transformación 4.0 de la industria navarra</v>
          </cell>
          <cell r="L305" t="str">
            <v>Transformación 4.0 de la industria navarra</v>
          </cell>
          <cell r="M305" t="str">
            <v>Empresa</v>
          </cell>
          <cell r="N305" t="str">
            <v>Empresa</v>
          </cell>
          <cell r="O305" t="str">
            <v>Pequeña</v>
          </cell>
          <cell r="P305" t="str">
            <v>Pequeña</v>
          </cell>
          <cell r="Q305" t="str">
            <v>Cooperativo</v>
          </cell>
          <cell r="R305" t="str">
            <v>Cooperativo</v>
          </cell>
          <cell r="S305" t="str">
            <v>SI</v>
          </cell>
          <cell r="T305" t="str">
            <v>SI</v>
          </cell>
          <cell r="V305" t="str">
            <v>NO</v>
          </cell>
          <cell r="W305" t="str">
            <v>NO</v>
          </cell>
          <cell r="Z305" t="str">
            <v>Sí, la patente prevista es europea</v>
          </cell>
          <cell r="AA305" t="str">
            <v>Sí, la patente prevista es europea</v>
          </cell>
          <cell r="AB305" t="str">
            <v>No, no tenemos prevista publicación</v>
          </cell>
          <cell r="AC305" t="str">
            <v>No, no tenemos prevista publicación</v>
          </cell>
          <cell r="AD305" t="str">
            <v>False</v>
          </cell>
        </row>
        <row r="306">
          <cell r="A306" t="str">
            <v>0011-1365-2020-000305</v>
          </cell>
          <cell r="B306" t="str">
            <v>AUTOMATIZACIÓN DE LA MONITORIZACION DE PLAGAS DE ANIMALES NO VOLADORES EN LA AGRICULTURA (INNORGANNIC)</v>
          </cell>
          <cell r="C306">
            <v>213654.53</v>
          </cell>
          <cell r="D306">
            <v>43983</v>
          </cell>
          <cell r="E306">
            <v>44651</v>
          </cell>
          <cell r="F306" t="str">
            <v>administracion@aldakin.com</v>
          </cell>
          <cell r="G306" t="str">
            <v>Cadena alimentaria</v>
          </cell>
          <cell r="H306" t="str">
            <v>Cadena alimentaria</v>
          </cell>
          <cell r="I306" t="str">
            <v>Tic</v>
          </cell>
          <cell r="J306" t="str">
            <v>Tic</v>
          </cell>
          <cell r="K306" t="str">
            <v>Transformación 4.0 de la industria navarra</v>
          </cell>
          <cell r="L306" t="str">
            <v>Transformación 4.0 de la industria navarra</v>
          </cell>
          <cell r="M306" t="str">
            <v>Empresa</v>
          </cell>
          <cell r="N306" t="str">
            <v>Empresa</v>
          </cell>
          <cell r="O306" t="str">
            <v>Mediana</v>
          </cell>
          <cell r="P306" t="str">
            <v>Mediana</v>
          </cell>
          <cell r="Q306" t="str">
            <v>Cooperativo</v>
          </cell>
          <cell r="R306" t="str">
            <v>Cooperativo</v>
          </cell>
          <cell r="S306" t="str">
            <v>SI</v>
          </cell>
          <cell r="T306" t="str">
            <v>SI</v>
          </cell>
          <cell r="V306" t="str">
            <v>NO</v>
          </cell>
          <cell r="W306" t="str">
            <v>NO</v>
          </cell>
          <cell r="Z306" t="str">
            <v>No, no tenemos intención de patentar</v>
          </cell>
          <cell r="AA306" t="str">
            <v>No, no tenemos intención de patentar</v>
          </cell>
          <cell r="AB306" t="str">
            <v>Sí, la publicación prevista es en revista científica q1</v>
          </cell>
          <cell r="AC306" t="str">
            <v>Sí, la publicación prevista es en revista científica q1</v>
          </cell>
          <cell r="AD306" t="str">
            <v>False</v>
          </cell>
        </row>
        <row r="307">
          <cell r="A307" t="str">
            <v>0011-1365-2020-000306</v>
          </cell>
          <cell r="B307" t="str">
            <v>Nuevas pinturas y recubrimientos de alta resistencia para emblemas y logotipos en automoción de acabado metalizado</v>
          </cell>
          <cell r="C307">
            <v>124509.33</v>
          </cell>
          <cell r="D307">
            <v>43922</v>
          </cell>
          <cell r="E307">
            <v>44469</v>
          </cell>
          <cell r="F307" t="str">
            <v>marijose.lizarraga@tidsl.com</v>
          </cell>
          <cell r="G307" t="str">
            <v>Automoción y mecatrónica</v>
          </cell>
          <cell r="H307" t="str">
            <v>Automoción y mecatrónica</v>
          </cell>
          <cell r="I307" t="str">
            <v>Manufactura avanzada</v>
          </cell>
          <cell r="J307" t="str">
            <v>Manufactura avanzada</v>
          </cell>
          <cell r="K307" t="str">
            <v>Impulso del vehículo eléctrico</v>
          </cell>
          <cell r="L307" t="str">
            <v>Impulso del vehículo eléctrico</v>
          </cell>
          <cell r="M307" t="str">
            <v>Empresa</v>
          </cell>
          <cell r="N307" t="str">
            <v>Empresa</v>
          </cell>
          <cell r="O307" t="str">
            <v>Mediana</v>
          </cell>
          <cell r="P307" t="str">
            <v>Mediana</v>
          </cell>
          <cell r="Q307" t="str">
            <v>Individual</v>
          </cell>
          <cell r="R307" t="str">
            <v>Individual</v>
          </cell>
          <cell r="S307" t="str">
            <v>SI</v>
          </cell>
          <cell r="T307" t="str">
            <v>SI</v>
          </cell>
          <cell r="V307" t="str">
            <v>NO</v>
          </cell>
          <cell r="W307" t="str">
            <v>NO</v>
          </cell>
          <cell r="Z307" t="str">
            <v>No, no tenemos intención de patentar</v>
          </cell>
          <cell r="AA307" t="str">
            <v>No, no tenemos intención de patentar</v>
          </cell>
          <cell r="AB307" t="str">
            <v>No, no tenemos prevista publicación</v>
          </cell>
          <cell r="AC307" t="str">
            <v>No, no tenemos prevista publicación</v>
          </cell>
          <cell r="AD307" t="str">
            <v>False</v>
          </cell>
        </row>
        <row r="308">
          <cell r="A308" t="str">
            <v>0011-1365-2020-000307</v>
          </cell>
          <cell r="B308" t="str">
            <v>EQUIPO PARA EL POSICIONAMIENTO SUBMÉTRICO DIFERENCIAL - PSD</v>
          </cell>
          <cell r="C308">
            <v>178823</v>
          </cell>
          <cell r="D308">
            <v>43922</v>
          </cell>
          <cell r="E308">
            <v>44651</v>
          </cell>
          <cell r="F308" t="str">
            <v>jorge@eo6ingenieria.com</v>
          </cell>
          <cell r="G308" t="str">
            <v>Industrias creativas y digitales</v>
          </cell>
          <cell r="H308" t="str">
            <v>Industrias creativas y digitales</v>
          </cell>
          <cell r="I308" t="str">
            <v>Tic</v>
          </cell>
          <cell r="J308" t="str">
            <v>Tic</v>
          </cell>
          <cell r="K308" t="str">
            <v>Industrias creativas y digitales</v>
          </cell>
          <cell r="L308" t="str">
            <v>Industrias creativas y digitales</v>
          </cell>
          <cell r="M308" t="str">
            <v>Empresa</v>
          </cell>
          <cell r="N308" t="str">
            <v>Empresa</v>
          </cell>
          <cell r="O308" t="str">
            <v>Pequeña</v>
          </cell>
          <cell r="P308" t="str">
            <v>Pequeña</v>
          </cell>
          <cell r="Q308" t="str">
            <v>Transferencia del conocimiento</v>
          </cell>
          <cell r="R308" t="str">
            <v>Transferencia del conocimiento</v>
          </cell>
          <cell r="S308" t="str">
            <v>NO</v>
          </cell>
          <cell r="T308" t="str">
            <v>NO</v>
          </cell>
          <cell r="U308" t="str">
            <v>No aplica</v>
          </cell>
          <cell r="V308" t="str">
            <v>NO</v>
          </cell>
          <cell r="W308" t="str">
            <v>NO</v>
          </cell>
          <cell r="Z308" t="str">
            <v>No, no tenemos intención de patentar</v>
          </cell>
          <cell r="AA308" t="str">
            <v>No, no tenemos intención de patentar</v>
          </cell>
          <cell r="AB308" t="str">
            <v>Sí, la publicación prevista es en revista científica q1</v>
          </cell>
          <cell r="AC308" t="str">
            <v>Sí, la publicación prevista es en revista científica q1</v>
          </cell>
          <cell r="AD308" t="str">
            <v>False</v>
          </cell>
        </row>
        <row r="309">
          <cell r="A309" t="str">
            <v>0011-1365-2020-000308</v>
          </cell>
          <cell r="B309" t="str">
            <v xml:space="preserve">CropStick:sentinel </v>
          </cell>
          <cell r="C309">
            <v>351195</v>
          </cell>
          <cell r="D309">
            <v>43983</v>
          </cell>
          <cell r="E309">
            <v>44651</v>
          </cell>
          <cell r="F309" t="str">
            <v>auriz@fsgroupconsulting.com</v>
          </cell>
          <cell r="G309" t="str">
            <v>Cadena alimentaria</v>
          </cell>
          <cell r="H309" t="str">
            <v>Cadena alimentaria</v>
          </cell>
          <cell r="I309" t="str">
            <v>Otros</v>
          </cell>
          <cell r="J309" t="str">
            <v>Otros</v>
          </cell>
          <cell r="K309" t="str">
            <v>Vertebrar la cadena de valor alimentaria</v>
          </cell>
          <cell r="L309" t="str">
            <v>Vertebrar la cadena de valor alimentaria</v>
          </cell>
          <cell r="M309" t="str">
            <v>Empresa</v>
          </cell>
          <cell r="N309" t="str">
            <v>Empresa</v>
          </cell>
          <cell r="O309" t="str">
            <v>Pequeña</v>
          </cell>
          <cell r="P309" t="str">
            <v>Pequeña</v>
          </cell>
          <cell r="Q309" t="str">
            <v>Transferencia del conocimiento</v>
          </cell>
          <cell r="R309" t="str">
            <v>Transferencia del conocimiento</v>
          </cell>
          <cell r="S309" t="str">
            <v>SI</v>
          </cell>
          <cell r="T309" t="str">
            <v>SI</v>
          </cell>
          <cell r="V309" t="str">
            <v>NO</v>
          </cell>
          <cell r="W309" t="str">
            <v>NO</v>
          </cell>
          <cell r="Z309" t="str">
            <v>Sí, la patente prevista es nacional</v>
          </cell>
          <cell r="AA309" t="str">
            <v>Sí, la patente prevista es nacional</v>
          </cell>
          <cell r="AB309" t="str">
            <v>Sí, la publicación prevista es en revista científica q1</v>
          </cell>
          <cell r="AC309" t="str">
            <v>Sí, la publicación prevista es en revista científica q1</v>
          </cell>
          <cell r="AD309" t="str">
            <v>True</v>
          </cell>
        </row>
        <row r="310">
          <cell r="A310" t="str">
            <v>0011-1365-2020-000309</v>
          </cell>
          <cell r="B310" t="str">
            <v>DESARROLLO DE BIO-IMPRESPRA 3D PARA LA GENERACION DE ORGANOIDES TUMORALES EN MATRICES BIOMIMETICAS</v>
          </cell>
          <cell r="C310">
            <v>253621.6</v>
          </cell>
          <cell r="D310">
            <v>43922</v>
          </cell>
          <cell r="E310">
            <v>44651</v>
          </cell>
          <cell r="F310" t="str">
            <v>asesoriafalces@gmail.com</v>
          </cell>
          <cell r="G310" t="str">
            <v>Salud</v>
          </cell>
          <cell r="H310" t="str">
            <v>Salud</v>
          </cell>
          <cell r="I310" t="str">
            <v>Biotecnología</v>
          </cell>
          <cell r="J310" t="str">
            <v>Biotecnología</v>
          </cell>
          <cell r="K310" t="str">
            <v>Desarrollo de la medicina personalizada</v>
          </cell>
          <cell r="L310" t="str">
            <v>Desarrollo de la medicina personalizada</v>
          </cell>
          <cell r="M310" t="str">
            <v>Empresa</v>
          </cell>
          <cell r="N310" t="str">
            <v>Empresa</v>
          </cell>
          <cell r="O310" t="str">
            <v>Pequeña</v>
          </cell>
          <cell r="P310" t="str">
            <v>Pequeña</v>
          </cell>
          <cell r="Q310" t="str">
            <v>Transferencia del conocimiento</v>
          </cell>
          <cell r="R310" t="str">
            <v>Transferencia del conocimiento</v>
          </cell>
          <cell r="S310" t="str">
            <v>NO</v>
          </cell>
          <cell r="T310" t="str">
            <v>NO</v>
          </cell>
          <cell r="U310" t="str">
            <v>cne no corresponde con industria</v>
          </cell>
          <cell r="V310" t="str">
            <v>NO</v>
          </cell>
          <cell r="W310" t="str">
            <v>NO</v>
          </cell>
          <cell r="Z310" t="str">
            <v>No, no tenemos intención de patentar</v>
          </cell>
          <cell r="AA310" t="str">
            <v>No, no tenemos intención de patentar</v>
          </cell>
          <cell r="AB310" t="str">
            <v>Sí, la publicación prevista es en revista científica</v>
          </cell>
          <cell r="AC310" t="str">
            <v>Sí, la publicación prevista es en revista científica</v>
          </cell>
          <cell r="AD310" t="str">
            <v>True</v>
          </cell>
        </row>
        <row r="311">
          <cell r="A311" t="str">
            <v>0011-1365-2020-000310</v>
          </cell>
          <cell r="B311" t="str">
            <v>Automatización de la monitorización de plagas de animales no voladores en agricultura (INNORGANNIC)</v>
          </cell>
          <cell r="C311">
            <v>218170</v>
          </cell>
          <cell r="D311">
            <v>43983</v>
          </cell>
          <cell r="E311">
            <v>44651</v>
          </cell>
          <cell r="F311" t="str">
            <v>info@agropestalert.com</v>
          </cell>
          <cell r="G311" t="str">
            <v>Cadena alimentaria</v>
          </cell>
          <cell r="H311" t="str">
            <v>Cadena alimentaria</v>
          </cell>
          <cell r="I311" t="str">
            <v>Tic</v>
          </cell>
          <cell r="J311" t="str">
            <v>Tic</v>
          </cell>
          <cell r="K311" t="str">
            <v>Transformación 4.0 de la industria navarra</v>
          </cell>
          <cell r="L311" t="str">
            <v>Transformación 4.0 de la industria navarra</v>
          </cell>
          <cell r="M311" t="str">
            <v>Empresa</v>
          </cell>
          <cell r="N311" t="str">
            <v>Empresa</v>
          </cell>
          <cell r="O311" t="str">
            <v>Pequeña</v>
          </cell>
          <cell r="P311" t="str">
            <v>Pequeña</v>
          </cell>
          <cell r="Q311" t="str">
            <v>Cooperativo</v>
          </cell>
          <cell r="R311" t="str">
            <v>Cooperativo</v>
          </cell>
          <cell r="S311" t="str">
            <v>NO</v>
          </cell>
          <cell r="T311" t="str">
            <v>NO</v>
          </cell>
          <cell r="U311" t="str">
            <v>No está obligada a inscribirse en el Registro Industrial de Navarra.</v>
          </cell>
          <cell r="V311" t="str">
            <v>NO</v>
          </cell>
          <cell r="W311" t="str">
            <v>NO</v>
          </cell>
          <cell r="Z311" t="str">
            <v>Sí, la patente prevista es europea</v>
          </cell>
          <cell r="AA311" t="str">
            <v>Sí, la patente prevista es europea</v>
          </cell>
          <cell r="AB311" t="str">
            <v>No, no tenemos prevista publicación</v>
          </cell>
          <cell r="AC311" t="str">
            <v>No, no tenemos prevista publicación</v>
          </cell>
          <cell r="AD311" t="str">
            <v>True</v>
          </cell>
        </row>
        <row r="312">
          <cell r="A312" t="str">
            <v>0011-1365-2020-000311</v>
          </cell>
          <cell r="B312" t="str">
            <v>SIP SEGURIDAD INTELIGENTE PARA PYMES</v>
          </cell>
          <cell r="C312">
            <v>86831</v>
          </cell>
          <cell r="D312">
            <v>43922</v>
          </cell>
          <cell r="E312">
            <v>44286</v>
          </cell>
          <cell r="F312" t="str">
            <v>c.jimenez@cimanti.es</v>
          </cell>
          <cell r="G312" t="str">
            <v>Industrias creativas y digitales</v>
          </cell>
          <cell r="H312" t="str">
            <v>Industrias creativas y digitales</v>
          </cell>
          <cell r="I312" t="str">
            <v>Tic</v>
          </cell>
          <cell r="J312" t="str">
            <v>Tic</v>
          </cell>
          <cell r="K312" t="str">
            <v>Industrias creativas y digitales</v>
          </cell>
          <cell r="L312" t="str">
            <v>Industrias creativas y digitales</v>
          </cell>
          <cell r="M312" t="str">
            <v>Empresa</v>
          </cell>
          <cell r="N312" t="str">
            <v>Empresa</v>
          </cell>
          <cell r="O312" t="str">
            <v>Pequeña</v>
          </cell>
          <cell r="P312" t="str">
            <v>Pequeña</v>
          </cell>
          <cell r="Q312" t="str">
            <v>Individual</v>
          </cell>
          <cell r="R312" t="str">
            <v>Individual</v>
          </cell>
          <cell r="S312" t="str">
            <v>NO</v>
          </cell>
          <cell r="T312" t="str">
            <v>NO</v>
          </cell>
          <cell r="U312" t="str">
            <v>No es una empresa industrial</v>
          </cell>
          <cell r="V312" t="str">
            <v>NO</v>
          </cell>
          <cell r="W312" t="str">
            <v>NO</v>
          </cell>
          <cell r="Z312" t="str">
            <v>No, no tenemos intención de patentar</v>
          </cell>
          <cell r="AA312" t="str">
            <v>No, no tenemos intención de patentar</v>
          </cell>
          <cell r="AB312" t="str">
            <v>No, no tenemos prevista publicación</v>
          </cell>
          <cell r="AC312" t="str">
            <v>No, no tenemos prevista publicación</v>
          </cell>
          <cell r="AD312" t="str">
            <v>False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O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O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avarra.es/home_es/Servicios/ficha/6931/Registro-Industrial" TargetMode="External"/><Relationship Id="rId1" Type="http://schemas.openxmlformats.org/officeDocument/2006/relationships/hyperlink" Target="http://www.boe.es/boe/dias/2007/04/28/pdfs/A18572-18593.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c.europa.eu/docsroom/documents/42903/attachments/1/translations/es/renditions/pdf" TargetMode="External"/><Relationship Id="rId1" Type="http://schemas.openxmlformats.org/officeDocument/2006/relationships/hyperlink" Target="http://smetest.uwe.b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navarra.es/home_es/Gobierno+de+Navarra/Organigrama/Los+departamentos/Economia+y+Hacienda/Organigrama/Estructura+Organica/Hacienda/Informacion+Fiscal/Preguntas+mas+frecuentes/Impuesto+sobre+sociedades/Base/coeficientes_amortizacion.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BU2"/>
  <sheetViews>
    <sheetView topLeftCell="AY1" workbookViewId="0">
      <selection activeCell="BK2" sqref="BK2"/>
    </sheetView>
  </sheetViews>
  <sheetFormatPr baseColWidth="10" defaultRowHeight="12.75" x14ac:dyDescent="0.2"/>
  <sheetData>
    <row r="1" spans="1:73" x14ac:dyDescent="0.2">
      <c r="A1" t="s">
        <v>629</v>
      </c>
      <c r="B1" t="s">
        <v>630</v>
      </c>
      <c r="C1" t="s">
        <v>631</v>
      </c>
      <c r="D1" s="599" t="s">
        <v>632</v>
      </c>
      <c r="E1" s="599" t="s">
        <v>633</v>
      </c>
      <c r="F1" s="599" t="s">
        <v>634</v>
      </c>
      <c r="G1" t="s">
        <v>635</v>
      </c>
      <c r="H1" s="600" t="s">
        <v>636</v>
      </c>
      <c r="I1" s="600" t="s">
        <v>637</v>
      </c>
      <c r="J1" t="s">
        <v>638</v>
      </c>
      <c r="K1" t="s">
        <v>639</v>
      </c>
      <c r="L1" t="s">
        <v>640</v>
      </c>
      <c r="M1" t="s">
        <v>641</v>
      </c>
      <c r="N1" t="s">
        <v>642</v>
      </c>
      <c r="O1" t="s">
        <v>643</v>
      </c>
      <c r="P1" t="s">
        <v>644</v>
      </c>
      <c r="Q1" t="s">
        <v>645</v>
      </c>
      <c r="R1" t="s">
        <v>646</v>
      </c>
      <c r="S1" t="s">
        <v>647</v>
      </c>
      <c r="T1" t="s">
        <v>648</v>
      </c>
      <c r="U1" t="s">
        <v>649</v>
      </c>
      <c r="V1" t="s">
        <v>650</v>
      </c>
      <c r="W1" t="s">
        <v>651</v>
      </c>
      <c r="X1" t="s">
        <v>652</v>
      </c>
      <c r="Y1" t="s">
        <v>653</v>
      </c>
      <c r="Z1" t="s">
        <v>654</v>
      </c>
      <c r="AA1" t="s">
        <v>655</v>
      </c>
      <c r="AB1" t="s">
        <v>656</v>
      </c>
      <c r="AC1" t="s">
        <v>657</v>
      </c>
      <c r="AD1" t="s">
        <v>658</v>
      </c>
      <c r="AE1" t="s">
        <v>659</v>
      </c>
      <c r="AF1" t="s">
        <v>660</v>
      </c>
      <c r="AG1" t="s">
        <v>661</v>
      </c>
      <c r="AH1" t="s">
        <v>662</v>
      </c>
      <c r="AI1" t="s">
        <v>663</v>
      </c>
      <c r="AJ1" t="s">
        <v>664</v>
      </c>
      <c r="AK1" t="s">
        <v>665</v>
      </c>
      <c r="AL1" t="s">
        <v>666</v>
      </c>
      <c r="AM1" t="s">
        <v>667</v>
      </c>
      <c r="AN1" t="s">
        <v>668</v>
      </c>
      <c r="AO1" t="s">
        <v>669</v>
      </c>
      <c r="AP1" t="s">
        <v>670</v>
      </c>
      <c r="AQ1" t="s">
        <v>671</v>
      </c>
      <c r="AR1" t="s">
        <v>672</v>
      </c>
      <c r="AS1" t="s">
        <v>673</v>
      </c>
      <c r="AT1" t="s">
        <v>674</v>
      </c>
      <c r="AU1" s="599" t="s">
        <v>675</v>
      </c>
      <c r="AV1" s="461" t="s">
        <v>676</v>
      </c>
      <c r="AW1" s="461" t="s">
        <v>677</v>
      </c>
      <c r="AX1" s="461" t="s">
        <v>678</v>
      </c>
      <c r="AY1" t="s">
        <v>679</v>
      </c>
      <c r="AZ1" t="s">
        <v>680</v>
      </c>
      <c r="BA1" t="s">
        <v>681</v>
      </c>
      <c r="BB1" t="s">
        <v>682</v>
      </c>
      <c r="BC1" t="s">
        <v>683</v>
      </c>
      <c r="BD1" t="s">
        <v>684</v>
      </c>
      <c r="BE1" t="s">
        <v>685</v>
      </c>
      <c r="BF1" t="s">
        <v>686</v>
      </c>
      <c r="BG1" t="s">
        <v>687</v>
      </c>
      <c r="BH1" t="s">
        <v>688</v>
      </c>
      <c r="BI1" s="461" t="s">
        <v>689</v>
      </c>
      <c r="BJ1" s="461" t="s">
        <v>690</v>
      </c>
      <c r="BK1" t="s">
        <v>691</v>
      </c>
      <c r="BL1" t="s">
        <v>692</v>
      </c>
      <c r="BM1" s="599" t="s">
        <v>693</v>
      </c>
      <c r="BN1" s="599" t="s">
        <v>694</v>
      </c>
      <c r="BO1" s="599" t="s">
        <v>695</v>
      </c>
      <c r="BP1" s="599" t="s">
        <v>696</v>
      </c>
      <c r="BQ1" s="599" t="s">
        <v>697</v>
      </c>
      <c r="BR1" s="599" t="s">
        <v>698</v>
      </c>
      <c r="BS1" s="600" t="s">
        <v>699</v>
      </c>
      <c r="BT1" s="600" t="s">
        <v>700</v>
      </c>
      <c r="BU1" s="599" t="s">
        <v>701</v>
      </c>
    </row>
    <row r="2" spans="1:73" x14ac:dyDescent="0.2">
      <c r="A2" t="str">
        <f>VALORACION!D2</f>
        <v>0011-1365-2021-000</v>
      </c>
      <c r="B2" t="str">
        <f>VALORACION!D7</f>
        <v>TRANSFERENCIA DEL CONOCIMIENTO</v>
      </c>
      <c r="C2">
        <f>VALORACION!D13</f>
        <v>0</v>
      </c>
      <c r="G2">
        <f>VALORACION!D4</f>
        <v>0</v>
      </c>
      <c r="J2">
        <f>VALORACION!E95</f>
        <v>0</v>
      </c>
      <c r="K2" t="str">
        <f>IF(VALORACION!B96&gt;0,VALORACION!B96,"")</f>
        <v/>
      </c>
      <c r="L2">
        <f>VALORACION!P16</f>
        <v>2400</v>
      </c>
      <c r="M2" s="604">
        <f>VALORACION!J19*100</f>
        <v>0</v>
      </c>
      <c r="N2">
        <f>VALORACION!P17</f>
        <v>0</v>
      </c>
      <c r="O2">
        <f>VALORACION!P19</f>
        <v>0</v>
      </c>
      <c r="P2">
        <f>VALORACION!P20</f>
        <v>0</v>
      </c>
      <c r="Q2">
        <f>VALORACION!P21</f>
        <v>0</v>
      </c>
      <c r="R2">
        <f>VALORACION!L8</f>
        <v>0</v>
      </c>
      <c r="S2">
        <f>VALORACION!N8</f>
        <v>0</v>
      </c>
      <c r="T2">
        <f>VALORACION!P8</f>
        <v>0</v>
      </c>
      <c r="U2">
        <f>VALORACION!L9</f>
        <v>0</v>
      </c>
      <c r="V2">
        <f>VALORACION!N9</f>
        <v>0</v>
      </c>
      <c r="W2">
        <f>VALORACION!P9</f>
        <v>0</v>
      </c>
      <c r="X2">
        <f>VALORACION!L10</f>
        <v>0</v>
      </c>
      <c r="Y2">
        <f>VALORACION!N10</f>
        <v>0</v>
      </c>
      <c r="Z2">
        <f>VALORACION!P10</f>
        <v>0</v>
      </c>
      <c r="AA2">
        <f>VALORACION!L11</f>
        <v>0</v>
      </c>
      <c r="AB2">
        <f>VALORACION!N11</f>
        <v>0</v>
      </c>
      <c r="AC2">
        <f>VALORACION!P11</f>
        <v>0</v>
      </c>
      <c r="AD2">
        <f>VALORACION!L14</f>
        <v>1200</v>
      </c>
      <c r="AE2">
        <f>VALORACION!N15</f>
        <v>0</v>
      </c>
      <c r="AF2">
        <f>VALORACION!P14</f>
        <v>2400</v>
      </c>
      <c r="AG2">
        <f>VALORACION!L15</f>
        <v>0</v>
      </c>
      <c r="AH2">
        <f>VALORACION!N15</f>
        <v>0</v>
      </c>
      <c r="AI2">
        <f>VALORACION!P15</f>
        <v>0</v>
      </c>
      <c r="AJ2">
        <f>VALORACION!L16</f>
        <v>1200</v>
      </c>
      <c r="AK2">
        <f>VALORACION!N16</f>
        <v>1200</v>
      </c>
      <c r="AL2">
        <f>VALORACION!P16</f>
        <v>2400</v>
      </c>
      <c r="AM2">
        <f>VALORACION!L17</f>
        <v>0</v>
      </c>
      <c r="AN2">
        <f>VALORACION!N17</f>
        <v>0</v>
      </c>
      <c r="AO2">
        <f>VALORACION!P17</f>
        <v>0</v>
      </c>
      <c r="AP2">
        <f>VALORACION!P376</f>
        <v>0</v>
      </c>
      <c r="AQ2">
        <f>VALORACION!P377</f>
        <v>0</v>
      </c>
      <c r="AR2">
        <f>VALORACION!P378</f>
        <v>0</v>
      </c>
      <c r="AS2">
        <f>VALORACION!J388</f>
        <v>0</v>
      </c>
      <c r="AT2">
        <f>VALORACION!D6</f>
        <v>0</v>
      </c>
      <c r="AV2" t="str">
        <f>IF(VALORACION!D15&gt;0,VALORACION!D15,"")</f>
        <v/>
      </c>
      <c r="AW2" s="605" t="str">
        <f>IF(VALORACION!D16&gt;0,VALORACION!D16,"")</f>
        <v/>
      </c>
      <c r="AX2" s="604">
        <f>VALORACION!F16*100</f>
        <v>0</v>
      </c>
      <c r="AY2">
        <f>VALORACION!T57</f>
        <v>0</v>
      </c>
      <c r="AZ2">
        <f>VALORACION!T61</f>
        <v>0</v>
      </c>
      <c r="BA2">
        <f>VALORACION!T63</f>
        <v>0</v>
      </c>
      <c r="BB2">
        <f>VALORACION!T65</f>
        <v>0</v>
      </c>
      <c r="BC2">
        <f>VALORACION!T68</f>
        <v>0</v>
      </c>
      <c r="BD2">
        <f>VALORACION!T70</f>
        <v>0</v>
      </c>
      <c r="BE2">
        <f>VALORACION!T72</f>
        <v>0</v>
      </c>
      <c r="BF2">
        <f>VALORACION!T74</f>
        <v>0</v>
      </c>
      <c r="BG2">
        <f>VALORACION!T76</f>
        <v>0</v>
      </c>
      <c r="BH2">
        <f>VALORACION!T79</f>
        <v>0</v>
      </c>
      <c r="BI2" t="str">
        <f>IF(VALORACION!B87&gt;0,VALORACION!B87,"")</f>
        <v/>
      </c>
      <c r="BJ2">
        <f>VALORACION!B85</f>
        <v>0</v>
      </c>
      <c r="BK2">
        <f>VALORACION!D98</f>
        <v>0</v>
      </c>
      <c r="BL2">
        <f>VALORACION!D99</f>
        <v>0</v>
      </c>
    </row>
  </sheetData>
  <sheetProtection password="DD66" sheet="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16"/>
  <sheetViews>
    <sheetView showGridLines="0" zoomScaleNormal="100" workbookViewId="0">
      <selection activeCell="B6" sqref="B6"/>
    </sheetView>
  </sheetViews>
  <sheetFormatPr baseColWidth="10" defaultColWidth="0" defaultRowHeight="12.75" zeroHeight="1" x14ac:dyDescent="0.2"/>
  <cols>
    <col min="1" max="1" width="1.7109375" style="70" customWidth="1"/>
    <col min="2" max="2" width="50.7109375" style="70" customWidth="1"/>
    <col min="3" max="5" width="16.7109375" style="70" customWidth="1"/>
    <col min="6" max="7" width="1.7109375" style="70" customWidth="1"/>
    <col min="8" max="16384" width="0" style="70" hidden="1"/>
  </cols>
  <sheetData>
    <row r="1" spans="1:6" ht="14.25" thickTop="1" thickBot="1" x14ac:dyDescent="0.25">
      <c r="A1" s="260"/>
      <c r="B1" s="261"/>
      <c r="C1" s="261"/>
      <c r="D1" s="261"/>
      <c r="E1" s="261"/>
      <c r="F1" s="262"/>
    </row>
    <row r="2" spans="1:6" ht="16.5" customHeight="1" x14ac:dyDescent="0.2">
      <c r="A2" s="263"/>
      <c r="B2" s="1335" t="s">
        <v>145</v>
      </c>
      <c r="C2" s="1336"/>
      <c r="D2" s="1336"/>
      <c r="E2" s="1337"/>
      <c r="F2" s="1341"/>
    </row>
    <row r="3" spans="1:6" ht="16.5" customHeight="1" thickBot="1" x14ac:dyDescent="0.25">
      <c r="A3" s="263"/>
      <c r="B3" s="1338"/>
      <c r="C3" s="1339"/>
      <c r="D3" s="1339"/>
      <c r="E3" s="1340"/>
      <c r="F3" s="1341"/>
    </row>
    <row r="4" spans="1:6" ht="16.5" customHeight="1" thickBot="1" x14ac:dyDescent="0.25">
      <c r="A4" s="265"/>
      <c r="B4" s="1312" t="s">
        <v>63</v>
      </c>
      <c r="C4" s="1314" t="s">
        <v>69</v>
      </c>
      <c r="D4" s="1315"/>
      <c r="E4" s="1334"/>
      <c r="F4" s="292"/>
    </row>
    <row r="5" spans="1:6" ht="16.5" customHeight="1" thickBot="1" x14ac:dyDescent="0.25">
      <c r="A5" s="265"/>
      <c r="B5" s="1342"/>
      <c r="C5" s="293" t="s">
        <v>11</v>
      </c>
      <c r="D5" s="294" t="s">
        <v>12</v>
      </c>
      <c r="E5" s="295" t="s">
        <v>62</v>
      </c>
      <c r="F5" s="292"/>
    </row>
    <row r="6" spans="1:6" ht="16.5" customHeight="1" x14ac:dyDescent="0.2">
      <c r="A6" s="263"/>
      <c r="B6" s="120" t="s">
        <v>748</v>
      </c>
      <c r="C6" s="337">
        <v>1200</v>
      </c>
      <c r="D6" s="338">
        <v>1200</v>
      </c>
      <c r="E6" s="352">
        <f>SUM(C6:D6)</f>
        <v>2400</v>
      </c>
      <c r="F6" s="292"/>
    </row>
    <row r="7" spans="1:6" ht="16.5" customHeight="1" x14ac:dyDescent="0.2">
      <c r="A7" s="263"/>
      <c r="B7" s="121"/>
      <c r="C7" s="340"/>
      <c r="D7" s="341"/>
      <c r="E7" s="353">
        <f t="shared" ref="E7:E13" si="0">SUM(C7:D7)</f>
        <v>0</v>
      </c>
      <c r="F7" s="292"/>
    </row>
    <row r="8" spans="1:6" ht="16.5" customHeight="1" x14ac:dyDescent="0.2">
      <c r="A8" s="263"/>
      <c r="B8" s="121"/>
      <c r="C8" s="340"/>
      <c r="D8" s="341"/>
      <c r="E8" s="353">
        <f t="shared" si="0"/>
        <v>0</v>
      </c>
      <c r="F8" s="292"/>
    </row>
    <row r="9" spans="1:6" ht="16.5" customHeight="1" x14ac:dyDescent="0.2">
      <c r="A9" s="263"/>
      <c r="B9" s="121"/>
      <c r="C9" s="340"/>
      <c r="D9" s="341"/>
      <c r="E9" s="353">
        <f t="shared" si="0"/>
        <v>0</v>
      </c>
      <c r="F9" s="292"/>
    </row>
    <row r="10" spans="1:6" ht="16.5" customHeight="1" x14ac:dyDescent="0.2">
      <c r="A10" s="263"/>
      <c r="B10" s="112"/>
      <c r="C10" s="343"/>
      <c r="D10" s="344"/>
      <c r="E10" s="353">
        <f t="shared" si="0"/>
        <v>0</v>
      </c>
      <c r="F10" s="292"/>
    </row>
    <row r="11" spans="1:6" ht="16.5" customHeight="1" thickBot="1" x14ac:dyDescent="0.25">
      <c r="A11" s="263"/>
      <c r="B11" s="113"/>
      <c r="C11" s="354"/>
      <c r="D11" s="142"/>
      <c r="E11" s="353">
        <f t="shared" si="0"/>
        <v>0</v>
      </c>
      <c r="F11" s="292"/>
    </row>
    <row r="12" spans="1:6" ht="16.5" customHeight="1" thickBot="1" x14ac:dyDescent="0.25">
      <c r="A12" s="263"/>
      <c r="B12" s="122" t="s">
        <v>60</v>
      </c>
      <c r="C12" s="355">
        <f>SUM(C6:C11)</f>
        <v>1200</v>
      </c>
      <c r="D12" s="356">
        <f>SUM(D6:D11)</f>
        <v>1200</v>
      </c>
      <c r="E12" s="357">
        <f t="shared" si="0"/>
        <v>2400</v>
      </c>
      <c r="F12" s="292"/>
    </row>
    <row r="13" spans="1:6" ht="16.5" customHeight="1" thickBot="1" x14ac:dyDescent="0.25">
      <c r="A13" s="263"/>
      <c r="B13" s="123" t="s">
        <v>116</v>
      </c>
      <c r="C13" s="358">
        <f>IF('EMPRESA-DATOS GENERALES'!F3="Organismo de Investigación",0.15*PERSONAL!O104,0)</f>
        <v>0</v>
      </c>
      <c r="D13" s="359">
        <f>IF('EMPRESA-DATOS GENERALES'!F3="Organismo de Investigación",0.15*PERSONAL!P104,0)</f>
        <v>0</v>
      </c>
      <c r="E13" s="360">
        <f t="shared" si="0"/>
        <v>0</v>
      </c>
      <c r="F13" s="292"/>
    </row>
    <row r="14" spans="1:6" ht="12.75" customHeight="1" x14ac:dyDescent="0.2">
      <c r="A14" s="263"/>
      <c r="B14" s="153"/>
      <c r="F14" s="292"/>
    </row>
    <row r="15" spans="1:6" ht="12.75" customHeight="1" thickBot="1" x14ac:dyDescent="0.25">
      <c r="A15" s="270"/>
      <c r="B15" s="1332"/>
      <c r="C15" s="1332"/>
      <c r="D15" s="1332"/>
      <c r="E15" s="1332"/>
      <c r="F15" s="1333"/>
    </row>
    <row r="16" spans="1:6" ht="13.5" thickTop="1" x14ac:dyDescent="0.2"/>
  </sheetData>
  <sheetProtection password="DD66" sheet="1" selectLockedCells="1"/>
  <mergeCells count="5">
    <mergeCell ref="B15:F15"/>
    <mergeCell ref="C4:E4"/>
    <mergeCell ref="B2:E3"/>
    <mergeCell ref="F2:F3"/>
    <mergeCell ref="B4:B5"/>
  </mergeCells>
  <phoneticPr fontId="2" type="noConversion"/>
  <dataValidations count="1">
    <dataValidation type="decimal" allowBlank="1" showInputMessage="1" showErrorMessage="1" error="Introduzca un valor numérico" sqref="C6:D11" xr:uid="{00000000-0002-0000-0900-000000000000}">
      <formula1>0</formula1>
      <formula2>99999999</formula2>
    </dataValidation>
  </dataValidations>
  <pageMargins left="0.75" right="0.75" top="1" bottom="1"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7"/>
  <sheetViews>
    <sheetView showGridLines="0" zoomScaleNormal="100" workbookViewId="0">
      <selection activeCell="B2" sqref="B2"/>
    </sheetView>
  </sheetViews>
  <sheetFormatPr baseColWidth="10" defaultColWidth="0" defaultRowHeight="12.75" zeroHeight="1" x14ac:dyDescent="0.2"/>
  <cols>
    <col min="1" max="1" width="1.7109375" customWidth="1"/>
    <col min="2" max="3" width="25.7109375" customWidth="1"/>
    <col min="4" max="6" width="16.7109375" customWidth="1"/>
    <col min="7" max="8" width="1.7109375" customWidth="1"/>
  </cols>
  <sheetData>
    <row r="1" spans="1:9" ht="17.25" thickTop="1" thickBot="1" x14ac:dyDescent="0.25">
      <c r="A1" s="1343" t="s">
        <v>139</v>
      </c>
      <c r="B1" s="1344"/>
      <c r="C1" s="1344"/>
      <c r="D1" s="1344"/>
      <c r="E1" s="1344"/>
      <c r="F1" s="1344"/>
      <c r="G1" s="1345"/>
    </row>
    <row r="2" spans="1:9" ht="20.45" customHeight="1" thickTop="1" thickBot="1" x14ac:dyDescent="0.25">
      <c r="A2" s="108"/>
      <c r="B2" s="313"/>
      <c r="C2" s="313"/>
      <c r="D2" s="34"/>
      <c r="E2" s="34"/>
      <c r="F2" s="34"/>
      <c r="G2" s="125"/>
    </row>
    <row r="3" spans="1:9" ht="30" customHeight="1" thickBot="1" x14ac:dyDescent="0.25">
      <c r="A3" s="108"/>
      <c r="B3" s="743" t="s">
        <v>70</v>
      </c>
      <c r="C3" s="1348"/>
      <c r="D3" s="317" t="s">
        <v>11</v>
      </c>
      <c r="E3" s="109" t="s">
        <v>12</v>
      </c>
      <c r="F3" s="110" t="s">
        <v>65</v>
      </c>
      <c r="G3" s="126"/>
    </row>
    <row r="4" spans="1:9" ht="20.45" customHeight="1" x14ac:dyDescent="0.2">
      <c r="A4" s="108"/>
      <c r="B4" s="1349" t="s">
        <v>55</v>
      </c>
      <c r="C4" s="1350"/>
      <c r="D4" s="296">
        <f>ACTIVOS!G38</f>
        <v>0</v>
      </c>
      <c r="E4" s="297">
        <f>ACTIVOS!J38</f>
        <v>0</v>
      </c>
      <c r="F4" s="298">
        <f>SUM(D4:E4)</f>
        <v>0</v>
      </c>
      <c r="G4" s="127"/>
    </row>
    <row r="5" spans="1:9" ht="20.45" customHeight="1" x14ac:dyDescent="0.2">
      <c r="A5" s="108"/>
      <c r="B5" s="949" t="s">
        <v>66</v>
      </c>
      <c r="C5" s="1346"/>
      <c r="D5" s="299">
        <f>PERSONAL!O104</f>
        <v>0</v>
      </c>
      <c r="E5" s="300">
        <f>PERSONAL!P104</f>
        <v>0</v>
      </c>
      <c r="F5" s="301">
        <f t="shared" ref="F5:F11" si="0">SUM(D5:E5)</f>
        <v>0</v>
      </c>
      <c r="G5" s="127"/>
    </row>
    <row r="6" spans="1:9" ht="20.45" customHeight="1" x14ac:dyDescent="0.2">
      <c r="A6" s="108"/>
      <c r="B6" s="949" t="s">
        <v>107</v>
      </c>
      <c r="C6" s="1346"/>
      <c r="D6" s="299">
        <f>MATERIALES!C32</f>
        <v>0</v>
      </c>
      <c r="E6" s="302">
        <f>MATERIALES!D32</f>
        <v>0</v>
      </c>
      <c r="F6" s="301">
        <f t="shared" si="0"/>
        <v>0</v>
      </c>
      <c r="G6" s="127"/>
    </row>
    <row r="7" spans="1:9" ht="20.45" customHeight="1" x14ac:dyDescent="0.2">
      <c r="A7" s="108"/>
      <c r="B7" s="949" t="s">
        <v>67</v>
      </c>
      <c r="C7" s="1346"/>
      <c r="D7" s="299">
        <f>COLABORACIONES!E34</f>
        <v>0</v>
      </c>
      <c r="E7" s="300">
        <f>COLABORACIONES!F34</f>
        <v>0</v>
      </c>
      <c r="F7" s="301">
        <f t="shared" si="0"/>
        <v>0</v>
      </c>
      <c r="G7" s="127"/>
    </row>
    <row r="8" spans="1:9" ht="20.45" customHeight="1" x14ac:dyDescent="0.2">
      <c r="A8" s="108"/>
      <c r="B8" s="924" t="s">
        <v>129</v>
      </c>
      <c r="C8" s="1347"/>
      <c r="D8" s="299">
        <f>COLABORACIONES!E43</f>
        <v>0</v>
      </c>
      <c r="E8" s="302">
        <f>COLABORACIONES!F43</f>
        <v>0</v>
      </c>
      <c r="F8" s="301">
        <f t="shared" si="0"/>
        <v>0</v>
      </c>
      <c r="G8" s="127"/>
    </row>
    <row r="9" spans="1:9" ht="20.45" customHeight="1" x14ac:dyDescent="0.2">
      <c r="A9" s="108"/>
      <c r="B9" s="1351" t="s">
        <v>130</v>
      </c>
      <c r="C9" s="1352"/>
      <c r="D9" s="299">
        <f>COLABORACIONES!E38</f>
        <v>0</v>
      </c>
      <c r="E9" s="302">
        <f>COLABORACIONES!F38</f>
        <v>0</v>
      </c>
      <c r="F9" s="303">
        <f t="shared" si="0"/>
        <v>0</v>
      </c>
      <c r="G9" s="127"/>
    </row>
    <row r="10" spans="1:9" ht="20.45" customHeight="1" thickBot="1" x14ac:dyDescent="0.25">
      <c r="A10" s="108"/>
      <c r="B10" s="1353" t="s">
        <v>110</v>
      </c>
      <c r="C10" s="1354"/>
      <c r="D10" s="304">
        <f>'OTROS COSTES'!C12</f>
        <v>1200</v>
      </c>
      <c r="E10" s="305">
        <f>'OTROS COSTES'!D12</f>
        <v>1200</v>
      </c>
      <c r="F10" s="306">
        <f t="shared" si="0"/>
        <v>2400</v>
      </c>
      <c r="G10" s="127"/>
    </row>
    <row r="11" spans="1:9" ht="20.45" customHeight="1" thickBot="1" x14ac:dyDescent="0.25">
      <c r="A11" s="108"/>
      <c r="B11" s="1357" t="s">
        <v>68</v>
      </c>
      <c r="C11" s="1358"/>
      <c r="D11" s="307">
        <f>'OTROS COSTES'!C13</f>
        <v>0</v>
      </c>
      <c r="E11" s="307">
        <f>'OTROS COSTES'!D13</f>
        <v>0</v>
      </c>
      <c r="F11" s="306">
        <f t="shared" si="0"/>
        <v>0</v>
      </c>
      <c r="G11" s="127"/>
    </row>
    <row r="12" spans="1:9" ht="20.45" customHeight="1" thickBot="1" x14ac:dyDescent="0.25">
      <c r="A12" s="108"/>
      <c r="B12" s="941" t="s">
        <v>60</v>
      </c>
      <c r="C12" s="1355"/>
      <c r="D12" s="308">
        <f>SUM(D4,D5,D6,D7,D10,D11)</f>
        <v>1200</v>
      </c>
      <c r="E12" s="308">
        <f>SUM(E4,E5,E6,E7,E10,E11)</f>
        <v>1200</v>
      </c>
      <c r="F12" s="309">
        <f>SUM(D12:E12)</f>
        <v>2400</v>
      </c>
      <c r="G12" s="127"/>
    </row>
    <row r="13" spans="1:9" ht="20.45" customHeight="1" thickBot="1" x14ac:dyDescent="0.25">
      <c r="A13" s="114"/>
      <c r="B13" s="314"/>
      <c r="C13" s="314"/>
      <c r="D13" s="315"/>
      <c r="E13" s="315"/>
      <c r="F13" s="315"/>
      <c r="G13" s="316"/>
    </row>
    <row r="14" spans="1:9" ht="12.75" customHeight="1" thickTop="1" x14ac:dyDescent="0.2">
      <c r="A14" s="1356"/>
      <c r="B14" s="1356"/>
      <c r="C14" s="1356"/>
      <c r="D14" s="1356"/>
      <c r="E14" s="1356"/>
      <c r="F14" s="1356"/>
      <c r="G14" s="310"/>
      <c r="H14" s="34"/>
      <c r="I14" s="34"/>
    </row>
    <row r="15" spans="1:9" ht="12.75" hidden="1" customHeight="1" x14ac:dyDescent="0.2">
      <c r="A15" s="34"/>
      <c r="B15" s="311"/>
      <c r="C15" s="311"/>
      <c r="D15" s="311"/>
      <c r="E15" s="311"/>
      <c r="F15" s="311"/>
      <c r="G15" s="312"/>
      <c r="H15" s="34"/>
      <c r="I15" s="34"/>
    </row>
    <row r="16" spans="1:9" hidden="1" x14ac:dyDescent="0.2">
      <c r="A16" s="34"/>
      <c r="B16" s="34"/>
      <c r="C16" s="34"/>
      <c r="D16" s="34"/>
      <c r="E16" s="34"/>
      <c r="F16" s="34"/>
      <c r="G16" s="34"/>
      <c r="H16" s="34"/>
      <c r="I16" s="34"/>
    </row>
    <row r="17" spans="1:9" hidden="1" x14ac:dyDescent="0.2">
      <c r="A17" s="34"/>
      <c r="B17" s="34"/>
      <c r="C17" s="34"/>
      <c r="D17" s="34"/>
      <c r="E17" s="34"/>
      <c r="F17" s="34"/>
      <c r="G17" s="34"/>
      <c r="H17" s="34"/>
      <c r="I17" s="34"/>
    </row>
  </sheetData>
  <sheetProtection password="DD66" sheet="1" selectLockedCells="1"/>
  <mergeCells count="12">
    <mergeCell ref="B9:C9"/>
    <mergeCell ref="B10:C10"/>
    <mergeCell ref="B12:C12"/>
    <mergeCell ref="A14:F14"/>
    <mergeCell ref="B11:C11"/>
    <mergeCell ref="A1:G1"/>
    <mergeCell ref="B6:C6"/>
    <mergeCell ref="B7:C7"/>
    <mergeCell ref="B8:C8"/>
    <mergeCell ref="B3:C3"/>
    <mergeCell ref="B4:C4"/>
    <mergeCell ref="B5:C5"/>
  </mergeCells>
  <phoneticPr fontId="2" type="noConversion"/>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J47"/>
  <sheetViews>
    <sheetView showGridLines="0" topLeftCell="A7" zoomScaleNormal="100" workbookViewId="0">
      <selection activeCell="B19" sqref="B19:G21"/>
    </sheetView>
  </sheetViews>
  <sheetFormatPr baseColWidth="10" defaultColWidth="0" defaultRowHeight="12.75" zeroHeight="1" x14ac:dyDescent="0.2"/>
  <cols>
    <col min="1" max="8" width="11.42578125" style="70" customWidth="1"/>
    <col min="9" max="9" width="1.7109375" style="70" customWidth="1"/>
    <col min="10" max="10" width="0" style="153" hidden="1" customWidth="1"/>
    <col min="11" max="16384" width="0" style="70" hidden="1"/>
  </cols>
  <sheetData>
    <row r="1" spans="1:9" ht="13.5" thickBot="1" x14ac:dyDescent="0.25">
      <c r="A1" s="154"/>
      <c r="B1" s="318"/>
      <c r="C1" s="318"/>
      <c r="D1" s="318"/>
      <c r="E1" s="318"/>
      <c r="F1" s="318"/>
      <c r="G1" s="318"/>
      <c r="H1" s="318"/>
      <c r="I1" s="318"/>
    </row>
    <row r="2" spans="1:9" x14ac:dyDescent="0.2">
      <c r="A2" s="1379" t="s">
        <v>191</v>
      </c>
      <c r="B2" s="1380"/>
      <c r="C2" s="1380"/>
      <c r="D2" s="1380"/>
      <c r="E2" s="1380"/>
      <c r="F2" s="1380"/>
      <c r="G2" s="1380"/>
      <c r="H2" s="1381"/>
      <c r="I2" s="153"/>
    </row>
    <row r="3" spans="1:9" ht="13.5" thickBot="1" x14ac:dyDescent="0.25">
      <c r="A3" s="1382"/>
      <c r="B3" s="1383"/>
      <c r="C3" s="1383"/>
      <c r="D3" s="1383"/>
      <c r="E3" s="1383"/>
      <c r="F3" s="1383"/>
      <c r="G3" s="1383"/>
      <c r="H3" s="1384"/>
      <c r="I3" s="153"/>
    </row>
    <row r="4" spans="1:9" ht="13.5" thickBot="1" x14ac:dyDescent="0.25">
      <c r="A4" s="157"/>
      <c r="B4" s="153"/>
      <c r="C4" s="153"/>
      <c r="D4" s="153"/>
      <c r="E4" s="153"/>
      <c r="F4" s="153"/>
      <c r="G4" s="153"/>
      <c r="H4" s="206"/>
      <c r="I4" s="153"/>
    </row>
    <row r="5" spans="1:9" ht="13.5" thickBot="1" x14ac:dyDescent="0.25">
      <c r="A5" s="319" t="s">
        <v>186</v>
      </c>
      <c r="B5" s="67"/>
      <c r="C5" s="67"/>
      <c r="D5" s="67"/>
      <c r="E5" s="67"/>
      <c r="F5" s="67"/>
      <c r="G5" s="67"/>
      <c r="H5" s="320"/>
      <c r="I5" s="153"/>
    </row>
    <row r="6" spans="1:9" x14ac:dyDescent="0.2">
      <c r="A6" s="157"/>
      <c r="B6" s="153"/>
      <c r="C6" s="153"/>
      <c r="D6" s="153"/>
      <c r="E6" s="153"/>
      <c r="F6" s="153"/>
      <c r="G6" s="153"/>
      <c r="H6" s="206"/>
      <c r="I6" s="153"/>
    </row>
    <row r="7" spans="1:9" x14ac:dyDescent="0.2">
      <c r="A7" s="321" t="s">
        <v>184</v>
      </c>
      <c r="B7" s="153"/>
      <c r="C7" s="153"/>
      <c r="D7" s="153"/>
      <c r="E7" s="153"/>
      <c r="F7" s="153"/>
      <c r="G7" s="153"/>
      <c r="H7" s="206"/>
      <c r="I7" s="153"/>
    </row>
    <row r="8" spans="1:9" x14ac:dyDescent="0.2">
      <c r="A8" s="157"/>
      <c r="B8" s="153"/>
      <c r="C8" s="153"/>
      <c r="D8" s="153"/>
      <c r="E8" s="153"/>
      <c r="F8" s="153"/>
      <c r="G8" s="153"/>
      <c r="H8" s="206"/>
      <c r="I8" s="153"/>
    </row>
    <row r="9" spans="1:9" x14ac:dyDescent="0.2">
      <c r="A9" s="322"/>
      <c r="B9" s="1377" t="s">
        <v>192</v>
      </c>
      <c r="C9" s="1377"/>
      <c r="D9" s="1377"/>
      <c r="E9" s="1377"/>
      <c r="F9" s="1377"/>
      <c r="G9" s="1377"/>
      <c r="H9" s="1378"/>
      <c r="I9" s="153"/>
    </row>
    <row r="10" spans="1:9" x14ac:dyDescent="0.2">
      <c r="A10" s="323"/>
      <c r="B10" s="1377"/>
      <c r="C10" s="1377"/>
      <c r="D10" s="1377"/>
      <c r="E10" s="1377"/>
      <c r="F10" s="1377"/>
      <c r="G10" s="1377"/>
      <c r="H10" s="1378"/>
      <c r="I10" s="153"/>
    </row>
    <row r="11" spans="1:9" x14ac:dyDescent="0.2">
      <c r="A11" s="157"/>
      <c r="B11" s="153"/>
      <c r="C11" s="153"/>
      <c r="D11" s="153"/>
      <c r="E11" s="153"/>
      <c r="F11" s="153"/>
      <c r="G11" s="153"/>
      <c r="H11" s="206"/>
      <c r="I11" s="153"/>
    </row>
    <row r="12" spans="1:9" x14ac:dyDescent="0.2">
      <c r="A12" s="1374"/>
      <c r="B12" s="1375"/>
      <c r="C12" s="1375"/>
      <c r="D12" s="1375"/>
      <c r="E12" s="1375"/>
      <c r="F12" s="1375"/>
      <c r="G12" s="1375"/>
      <c r="H12" s="1376"/>
      <c r="I12" s="153"/>
    </row>
    <row r="13" spans="1:9" x14ac:dyDescent="0.2">
      <c r="A13" s="1374"/>
      <c r="B13" s="1375"/>
      <c r="C13" s="1375"/>
      <c r="D13" s="1375"/>
      <c r="E13" s="1375"/>
      <c r="F13" s="1375"/>
      <c r="G13" s="1375"/>
      <c r="H13" s="1376"/>
      <c r="I13" s="153"/>
    </row>
    <row r="14" spans="1:9" x14ac:dyDescent="0.2">
      <c r="A14" s="324"/>
      <c r="B14" s="325"/>
      <c r="C14" s="325"/>
      <c r="D14" s="325"/>
      <c r="E14" s="325"/>
      <c r="F14" s="325"/>
      <c r="G14" s="325"/>
      <c r="H14" s="326"/>
      <c r="I14" s="153"/>
    </row>
    <row r="15" spans="1:9" x14ac:dyDescent="0.2">
      <c r="A15" s="1359" t="s">
        <v>193</v>
      </c>
      <c r="B15" s="1360"/>
      <c r="C15" s="1360"/>
      <c r="D15" s="1360"/>
      <c r="E15" s="1360"/>
      <c r="F15" s="1360"/>
      <c r="G15" s="1360"/>
      <c r="H15" s="1361"/>
      <c r="I15" s="153"/>
    </row>
    <row r="16" spans="1:9" x14ac:dyDescent="0.2">
      <c r="A16" s="1359"/>
      <c r="B16" s="1360"/>
      <c r="C16" s="1360"/>
      <c r="D16" s="1360"/>
      <c r="E16" s="1360"/>
      <c r="F16" s="1360"/>
      <c r="G16" s="1360"/>
      <c r="H16" s="1361"/>
      <c r="I16" s="153"/>
    </row>
    <row r="17" spans="1:9" x14ac:dyDescent="0.2">
      <c r="A17" s="1359"/>
      <c r="B17" s="1360"/>
      <c r="C17" s="1360"/>
      <c r="D17" s="1360"/>
      <c r="E17" s="1360"/>
      <c r="F17" s="1360"/>
      <c r="G17" s="1360"/>
      <c r="H17" s="1361"/>
      <c r="I17" s="153"/>
    </row>
    <row r="18" spans="1:9" x14ac:dyDescent="0.2">
      <c r="A18" s="327"/>
      <c r="B18" s="328"/>
      <c r="C18" s="328"/>
      <c r="D18" s="328"/>
      <c r="E18" s="328"/>
      <c r="F18" s="328"/>
      <c r="G18" s="328"/>
      <c r="H18" s="329"/>
      <c r="I18" s="153"/>
    </row>
    <row r="19" spans="1:9" x14ac:dyDescent="0.2">
      <c r="A19" s="330"/>
      <c r="B19" s="1365"/>
      <c r="C19" s="1366"/>
      <c r="D19" s="1366"/>
      <c r="E19" s="1366"/>
      <c r="F19" s="1366"/>
      <c r="G19" s="1367"/>
      <c r="H19" s="331"/>
      <c r="I19" s="153"/>
    </row>
    <row r="20" spans="1:9" x14ac:dyDescent="0.2">
      <c r="A20" s="327"/>
      <c r="B20" s="1368"/>
      <c r="C20" s="1369"/>
      <c r="D20" s="1369"/>
      <c r="E20" s="1369"/>
      <c r="F20" s="1369"/>
      <c r="G20" s="1370"/>
      <c r="H20" s="331"/>
      <c r="I20" s="153"/>
    </row>
    <row r="21" spans="1:9" x14ac:dyDescent="0.2">
      <c r="A21" s="330"/>
      <c r="B21" s="1371"/>
      <c r="C21" s="1372"/>
      <c r="D21" s="1372"/>
      <c r="E21" s="1372"/>
      <c r="F21" s="1372"/>
      <c r="G21" s="1373"/>
      <c r="H21" s="331"/>
      <c r="I21" s="153"/>
    </row>
    <row r="22" spans="1:9" x14ac:dyDescent="0.2">
      <c r="A22" s="157"/>
      <c r="B22" s="153"/>
      <c r="C22" s="153"/>
      <c r="D22" s="153"/>
      <c r="E22" s="153"/>
      <c r="F22" s="153"/>
      <c r="G22" s="153"/>
      <c r="H22" s="206"/>
      <c r="I22" s="153"/>
    </row>
    <row r="23" spans="1:9" x14ac:dyDescent="0.2">
      <c r="A23" s="1359" t="s">
        <v>185</v>
      </c>
      <c r="B23" s="1360"/>
      <c r="C23" s="1360"/>
      <c r="D23" s="1360"/>
      <c r="E23" s="1360"/>
      <c r="F23" s="1360"/>
      <c r="G23" s="1360"/>
      <c r="H23" s="1361"/>
      <c r="I23" s="153"/>
    </row>
    <row r="24" spans="1:9" x14ac:dyDescent="0.2">
      <c r="A24" s="1359"/>
      <c r="B24" s="1360"/>
      <c r="C24" s="1360"/>
      <c r="D24" s="1360"/>
      <c r="E24" s="1360"/>
      <c r="F24" s="1360"/>
      <c r="G24" s="1360"/>
      <c r="H24" s="1361"/>
      <c r="I24" s="153"/>
    </row>
    <row r="25" spans="1:9" x14ac:dyDescent="0.2">
      <c r="A25" s="1359"/>
      <c r="B25" s="1360"/>
      <c r="C25" s="1360"/>
      <c r="D25" s="1360"/>
      <c r="E25" s="1360"/>
      <c r="F25" s="1360"/>
      <c r="G25" s="1360"/>
      <c r="H25" s="1361"/>
      <c r="I25" s="153"/>
    </row>
    <row r="26" spans="1:9" ht="13.5" thickBot="1" x14ac:dyDescent="0.25">
      <c r="A26" s="157"/>
      <c r="B26" s="153"/>
      <c r="C26" s="153"/>
      <c r="D26" s="153"/>
      <c r="E26" s="153"/>
      <c r="F26" s="153"/>
      <c r="G26" s="153"/>
      <c r="H26" s="206"/>
      <c r="I26" s="153"/>
    </row>
    <row r="27" spans="1:9" ht="13.5" thickBot="1" x14ac:dyDescent="0.25">
      <c r="A27" s="319" t="s">
        <v>187</v>
      </c>
      <c r="B27" s="67"/>
      <c r="C27" s="67"/>
      <c r="D27" s="67"/>
      <c r="E27" s="67"/>
      <c r="F27" s="67"/>
      <c r="G27" s="67"/>
      <c r="H27" s="320"/>
      <c r="I27" s="153"/>
    </row>
    <row r="28" spans="1:9" x14ac:dyDescent="0.2">
      <c r="A28" s="157"/>
      <c r="B28" s="153"/>
      <c r="C28" s="153"/>
      <c r="D28" s="153"/>
      <c r="E28" s="153"/>
      <c r="F28" s="153"/>
      <c r="G28" s="153"/>
      <c r="H28" s="206"/>
      <c r="I28" s="153"/>
    </row>
    <row r="29" spans="1:9" x14ac:dyDescent="0.2">
      <c r="A29" s="321" t="s">
        <v>184</v>
      </c>
      <c r="B29" s="153"/>
      <c r="C29" s="153"/>
      <c r="D29" s="153"/>
      <c r="E29" s="153"/>
      <c r="F29" s="153"/>
      <c r="G29" s="153"/>
      <c r="H29" s="206"/>
      <c r="I29" s="153"/>
    </row>
    <row r="30" spans="1:9" x14ac:dyDescent="0.2">
      <c r="A30" s="157"/>
      <c r="B30" s="153"/>
      <c r="C30" s="153"/>
      <c r="D30" s="153"/>
      <c r="E30" s="153"/>
      <c r="F30" s="153"/>
      <c r="G30" s="153"/>
      <c r="H30" s="206"/>
      <c r="I30" s="153"/>
    </row>
    <row r="31" spans="1:9" x14ac:dyDescent="0.2">
      <c r="A31" s="322"/>
      <c r="B31" s="1377" t="s">
        <v>189</v>
      </c>
      <c r="C31" s="1377"/>
      <c r="D31" s="1377"/>
      <c r="E31" s="1377"/>
      <c r="F31" s="1377"/>
      <c r="G31" s="1377"/>
      <c r="H31" s="1378"/>
      <c r="I31" s="153"/>
    </row>
    <row r="32" spans="1:9" x14ac:dyDescent="0.2">
      <c r="A32" s="323"/>
      <c r="B32" s="1377"/>
      <c r="C32" s="1377"/>
      <c r="D32" s="1377"/>
      <c r="E32" s="1377"/>
      <c r="F32" s="1377"/>
      <c r="G32" s="1377"/>
      <c r="H32" s="1378"/>
      <c r="I32" s="153"/>
    </row>
    <row r="33" spans="1:9" x14ac:dyDescent="0.2">
      <c r="A33" s="157"/>
      <c r="B33" s="153"/>
      <c r="C33" s="153"/>
      <c r="D33" s="153"/>
      <c r="E33" s="153"/>
      <c r="F33" s="153"/>
      <c r="G33" s="153"/>
      <c r="H33" s="206"/>
      <c r="I33" s="153"/>
    </row>
    <row r="34" spans="1:9" x14ac:dyDescent="0.2">
      <c r="A34" s="1374"/>
      <c r="B34" s="1375"/>
      <c r="C34" s="1375"/>
      <c r="D34" s="1375"/>
      <c r="E34" s="1375"/>
      <c r="F34" s="1375"/>
      <c r="G34" s="1375"/>
      <c r="H34" s="1376"/>
      <c r="I34" s="153"/>
    </row>
    <row r="35" spans="1:9" x14ac:dyDescent="0.2">
      <c r="A35" s="1374"/>
      <c r="B35" s="1375"/>
      <c r="C35" s="1375"/>
      <c r="D35" s="1375"/>
      <c r="E35" s="1375"/>
      <c r="F35" s="1375"/>
      <c r="G35" s="1375"/>
      <c r="H35" s="1376"/>
      <c r="I35" s="153"/>
    </row>
    <row r="36" spans="1:9" x14ac:dyDescent="0.2">
      <c r="A36" s="324"/>
      <c r="B36" s="325"/>
      <c r="C36" s="325"/>
      <c r="D36" s="325"/>
      <c r="E36" s="325"/>
      <c r="F36" s="325"/>
      <c r="G36" s="325"/>
      <c r="H36" s="326"/>
      <c r="I36" s="153"/>
    </row>
    <row r="37" spans="1:9" x14ac:dyDescent="0.2">
      <c r="A37" s="1359" t="s">
        <v>194</v>
      </c>
      <c r="B37" s="1360"/>
      <c r="C37" s="1360"/>
      <c r="D37" s="1360"/>
      <c r="E37" s="1360"/>
      <c r="F37" s="1360"/>
      <c r="G37" s="1360"/>
      <c r="H37" s="1361"/>
      <c r="I37" s="153"/>
    </row>
    <row r="38" spans="1:9" x14ac:dyDescent="0.2">
      <c r="A38" s="1359"/>
      <c r="B38" s="1360"/>
      <c r="C38" s="1360"/>
      <c r="D38" s="1360"/>
      <c r="E38" s="1360"/>
      <c r="F38" s="1360"/>
      <c r="G38" s="1360"/>
      <c r="H38" s="1361"/>
      <c r="I38" s="153"/>
    </row>
    <row r="39" spans="1:9" x14ac:dyDescent="0.2">
      <c r="A39" s="327"/>
      <c r="B39" s="328"/>
      <c r="C39" s="328"/>
      <c r="D39" s="328"/>
      <c r="E39" s="328"/>
      <c r="F39" s="328"/>
      <c r="G39" s="328"/>
      <c r="H39" s="329"/>
      <c r="I39" s="153"/>
    </row>
    <row r="40" spans="1:9" x14ac:dyDescent="0.2">
      <c r="A40" s="330"/>
      <c r="B40" s="1365"/>
      <c r="C40" s="1366"/>
      <c r="D40" s="1366"/>
      <c r="E40" s="1366"/>
      <c r="F40" s="1366"/>
      <c r="G40" s="1367"/>
      <c r="H40" s="331"/>
      <c r="I40" s="153"/>
    </row>
    <row r="41" spans="1:9" x14ac:dyDescent="0.2">
      <c r="A41" s="327"/>
      <c r="B41" s="1368"/>
      <c r="C41" s="1369"/>
      <c r="D41" s="1369"/>
      <c r="E41" s="1369"/>
      <c r="F41" s="1369"/>
      <c r="G41" s="1370"/>
      <c r="H41" s="331"/>
      <c r="I41" s="153"/>
    </row>
    <row r="42" spans="1:9" x14ac:dyDescent="0.2">
      <c r="A42" s="330"/>
      <c r="B42" s="1371"/>
      <c r="C42" s="1372"/>
      <c r="D42" s="1372"/>
      <c r="E42" s="1372"/>
      <c r="F42" s="1372"/>
      <c r="G42" s="1373"/>
      <c r="H42" s="331"/>
      <c r="I42" s="153"/>
    </row>
    <row r="43" spans="1:9" x14ac:dyDescent="0.2">
      <c r="A43" s="157"/>
      <c r="B43" s="153"/>
      <c r="C43" s="153"/>
      <c r="D43" s="153"/>
      <c r="E43" s="153"/>
      <c r="F43" s="153"/>
      <c r="G43" s="153"/>
      <c r="H43" s="206"/>
      <c r="I43" s="153"/>
    </row>
    <row r="44" spans="1:9" x14ac:dyDescent="0.2">
      <c r="A44" s="1359" t="s">
        <v>188</v>
      </c>
      <c r="B44" s="1360"/>
      <c r="C44" s="1360"/>
      <c r="D44" s="1360"/>
      <c r="E44" s="1360"/>
      <c r="F44" s="1360"/>
      <c r="G44" s="1360"/>
      <c r="H44" s="1361"/>
      <c r="I44" s="153"/>
    </row>
    <row r="45" spans="1:9" x14ac:dyDescent="0.2">
      <c r="A45" s="1359"/>
      <c r="B45" s="1360"/>
      <c r="C45" s="1360"/>
      <c r="D45" s="1360"/>
      <c r="E45" s="1360"/>
      <c r="F45" s="1360"/>
      <c r="G45" s="1360"/>
      <c r="H45" s="1361"/>
      <c r="I45" s="153"/>
    </row>
    <row r="46" spans="1:9" ht="13.5" thickBot="1" x14ac:dyDescent="0.25">
      <c r="A46" s="1362"/>
      <c r="B46" s="1363"/>
      <c r="C46" s="1363"/>
      <c r="D46" s="1363"/>
      <c r="E46" s="1363"/>
      <c r="F46" s="1363"/>
      <c r="G46" s="1363"/>
      <c r="H46" s="1364"/>
      <c r="I46" s="153"/>
    </row>
    <row r="47" spans="1:9" x14ac:dyDescent="0.2"/>
  </sheetData>
  <sheetProtection password="DD66" sheet="1" selectLockedCells="1"/>
  <mergeCells count="11">
    <mergeCell ref="A2:H3"/>
    <mergeCell ref="A12:H13"/>
    <mergeCell ref="A15:H17"/>
    <mergeCell ref="B40:G42"/>
    <mergeCell ref="B9:H10"/>
    <mergeCell ref="A44:H46"/>
    <mergeCell ref="A23:H25"/>
    <mergeCell ref="B19:G21"/>
    <mergeCell ref="A34:H35"/>
    <mergeCell ref="A37:H38"/>
    <mergeCell ref="B31:H32"/>
  </mergeCells>
  <phoneticPr fontId="2" type="noConversion"/>
  <pageMargins left="0.75" right="0.75" top="1" bottom="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0</xdr:col>
                    <xdr:colOff>219075</xdr:colOff>
                    <xdr:row>7</xdr:row>
                    <xdr:rowOff>123825</xdr:rowOff>
                  </from>
                  <to>
                    <xdr:col>1</xdr:col>
                    <xdr:colOff>0</xdr:colOff>
                    <xdr:row>9</xdr:row>
                    <xdr:rowOff>28575</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0</xdr:col>
                    <xdr:colOff>219075</xdr:colOff>
                    <xdr:row>8</xdr:row>
                    <xdr:rowOff>123825</xdr:rowOff>
                  </from>
                  <to>
                    <xdr:col>1</xdr:col>
                    <xdr:colOff>0</xdr:colOff>
                    <xdr:row>10</xdr:row>
                    <xdr:rowOff>28575</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0</xdr:col>
                    <xdr:colOff>219075</xdr:colOff>
                    <xdr:row>29</xdr:row>
                    <xdr:rowOff>123825</xdr:rowOff>
                  </from>
                  <to>
                    <xdr:col>1</xdr:col>
                    <xdr:colOff>0</xdr:colOff>
                    <xdr:row>31</xdr:row>
                    <xdr:rowOff>28575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0</xdr:col>
                    <xdr:colOff>219075</xdr:colOff>
                    <xdr:row>30</xdr:row>
                    <xdr:rowOff>123825</xdr:rowOff>
                  </from>
                  <to>
                    <xdr:col>1</xdr:col>
                    <xdr:colOff>0</xdr:colOff>
                    <xdr:row>32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AG419"/>
  <sheetViews>
    <sheetView workbookViewId="0">
      <selection activeCell="P376" sqref="P376:P378"/>
    </sheetView>
  </sheetViews>
  <sheetFormatPr baseColWidth="10" defaultRowHeight="12.75" x14ac:dyDescent="0.2"/>
  <cols>
    <col min="1" max="3" width="11.42578125" customWidth="1"/>
    <col min="7" max="8" width="11.42578125" customWidth="1"/>
    <col min="11" max="11" width="11.42578125" customWidth="1"/>
    <col min="13" max="13" width="11.42578125" customWidth="1"/>
    <col min="26" max="26" width="11.7109375" bestFit="1" customWidth="1"/>
  </cols>
  <sheetData>
    <row r="1" spans="1:29" ht="13.5" thickBot="1" x14ac:dyDescent="0.25">
      <c r="O1" s="677" t="s">
        <v>735</v>
      </c>
      <c r="P1" s="677" t="s">
        <v>736</v>
      </c>
    </row>
    <row r="2" spans="1:29" ht="17.25" customHeight="1" thickBot="1" x14ac:dyDescent="0.25">
      <c r="A2" s="913" t="s">
        <v>395</v>
      </c>
      <c r="B2" s="913"/>
      <c r="C2" s="913"/>
      <c r="D2" s="886" t="s">
        <v>729</v>
      </c>
      <c r="E2" s="886"/>
      <c r="F2" s="886"/>
      <c r="H2" s="453" t="s">
        <v>539</v>
      </c>
      <c r="I2" s="454"/>
      <c r="J2" s="454"/>
      <c r="K2" s="425" t="str">
        <f>IF(AND(D4=$U$3,P24=$U$3,OR(D8=$U$3,D8=$U$5),OR(D9=$U$3,D9=$U$5)),$U$3,$U$4)</f>
        <v>NO</v>
      </c>
      <c r="L2" s="561" t="str">
        <f>IF(AND(D6=U8,D10=U4),"Decidir art. 7 b de la OF por cuentas de OI no separadas","")</f>
        <v/>
      </c>
      <c r="M2" s="399"/>
      <c r="U2" s="336" t="s">
        <v>469</v>
      </c>
      <c r="X2" s="431" t="s">
        <v>446</v>
      </c>
      <c r="AA2" s="431" t="s">
        <v>519</v>
      </c>
    </row>
    <row r="3" spans="1:29" ht="16.5" customHeight="1" thickBot="1" x14ac:dyDescent="0.25">
      <c r="A3" s="913" t="s">
        <v>409</v>
      </c>
      <c r="B3" s="913"/>
      <c r="C3" s="913"/>
      <c r="D3" s="887"/>
      <c r="E3" s="887"/>
      <c r="F3" s="887"/>
      <c r="H3" s="611" t="str">
        <f>B81</f>
        <v>EL PROYECTO NO SUPERA ALGUNO DE LOS APARTADOS a), b), c) o d)</v>
      </c>
      <c r="I3" s="612"/>
      <c r="J3" s="612"/>
      <c r="K3" s="612"/>
      <c r="L3" s="612"/>
      <c r="M3" s="612"/>
      <c r="N3" s="612"/>
      <c r="O3" s="612"/>
      <c r="P3" s="612"/>
      <c r="T3" s="34"/>
      <c r="U3" s="313" t="s">
        <v>85</v>
      </c>
      <c r="V3" s="34"/>
      <c r="W3" s="34"/>
      <c r="X3" s="398" t="s">
        <v>571</v>
      </c>
      <c r="Y3" s="34"/>
      <c r="AA3" s="569" t="s">
        <v>520</v>
      </c>
    </row>
    <row r="4" spans="1:29" ht="16.5" customHeight="1" thickBot="1" x14ac:dyDescent="0.25">
      <c r="A4" s="914" t="s">
        <v>586</v>
      </c>
      <c r="B4" s="914"/>
      <c r="C4" s="914"/>
      <c r="D4" s="786"/>
      <c r="E4" s="888"/>
      <c r="F4" s="794"/>
      <c r="G4" s="399"/>
      <c r="H4" s="606" t="s">
        <v>538</v>
      </c>
      <c r="I4" s="609"/>
      <c r="J4" s="609"/>
      <c r="K4" s="609"/>
      <c r="L4" s="609"/>
      <c r="M4" s="610">
        <f>D79</f>
        <v>0</v>
      </c>
      <c r="N4" s="606" t="s">
        <v>601</v>
      </c>
      <c r="O4" s="607"/>
      <c r="P4" s="608">
        <f>IF(OR(D13=U19,D13=U22,D13=U23),0,IF(D6=U8,1,IF(D13=U20,VLOOKUP(D7,N36:S38,VLOOKUP(D6,U9:V11,2,FALSE),FALSE),IF(D13=U21,VLOOKUP(D7,N39:S41,VLOOKUP(D6,U9:V11,2,FALSE),FALSE),0))))</f>
        <v>0</v>
      </c>
      <c r="T4" s="34"/>
      <c r="U4" s="313" t="s">
        <v>76</v>
      </c>
      <c r="V4" s="34"/>
      <c r="W4" s="34"/>
      <c r="X4" s="398" t="s">
        <v>449</v>
      </c>
      <c r="Y4" s="34"/>
      <c r="AA4" s="432" t="s">
        <v>522</v>
      </c>
    </row>
    <row r="5" spans="1:29" ht="16.5" customHeight="1" thickBot="1" x14ac:dyDescent="0.25">
      <c r="A5" s="918"/>
      <c r="B5" s="918"/>
      <c r="C5" s="918"/>
      <c r="D5" s="889"/>
      <c r="E5" s="889"/>
      <c r="F5" s="889"/>
      <c r="T5" s="34"/>
      <c r="U5" s="568" t="s">
        <v>442</v>
      </c>
      <c r="V5" s="34"/>
      <c r="W5" s="34"/>
      <c r="X5" s="398" t="s">
        <v>450</v>
      </c>
      <c r="Y5" s="34"/>
      <c r="AA5" s="432" t="s">
        <v>521</v>
      </c>
    </row>
    <row r="6" spans="1:29" ht="16.5" customHeight="1" thickBot="1" x14ac:dyDescent="0.25">
      <c r="A6" s="915" t="s">
        <v>402</v>
      </c>
      <c r="B6" s="915"/>
      <c r="C6" s="915"/>
      <c r="D6" s="700"/>
      <c r="E6" s="700"/>
      <c r="F6" s="700"/>
      <c r="H6" s="750" t="s">
        <v>70</v>
      </c>
      <c r="I6" s="751"/>
      <c r="J6" s="752"/>
      <c r="K6" s="697" t="s">
        <v>11</v>
      </c>
      <c r="L6" s="698"/>
      <c r="M6" s="697" t="s">
        <v>12</v>
      </c>
      <c r="N6" s="698"/>
      <c r="O6" s="697" t="s">
        <v>65</v>
      </c>
      <c r="P6" s="698"/>
      <c r="U6" s="124"/>
      <c r="X6" s="398" t="s">
        <v>451</v>
      </c>
      <c r="AA6" s="571"/>
    </row>
    <row r="7" spans="1:29" ht="16.5" customHeight="1" thickBot="1" x14ac:dyDescent="0.25">
      <c r="A7" s="916" t="s">
        <v>587</v>
      </c>
      <c r="B7" s="916"/>
      <c r="C7" s="916"/>
      <c r="D7" s="700" t="str">
        <f>'PROYECTO-DATOS GENERALES'!B15</f>
        <v>TRANSFERENCIA DEL CONOCIMIENTO</v>
      </c>
      <c r="E7" s="700"/>
      <c r="F7" s="700"/>
      <c r="H7" s="753"/>
      <c r="I7" s="754"/>
      <c r="J7" s="755"/>
      <c r="K7" s="493" t="s">
        <v>553</v>
      </c>
      <c r="L7" s="317" t="s">
        <v>554</v>
      </c>
      <c r="M7" s="494" t="s">
        <v>553</v>
      </c>
      <c r="N7" s="476" t="s">
        <v>554</v>
      </c>
      <c r="O7" s="493" t="s">
        <v>553</v>
      </c>
      <c r="P7" s="476" t="s">
        <v>554</v>
      </c>
      <c r="U7" s="431" t="s">
        <v>44</v>
      </c>
      <c r="X7" s="398" t="s">
        <v>452</v>
      </c>
      <c r="AA7" s="571" t="s">
        <v>523</v>
      </c>
    </row>
    <row r="8" spans="1:29" ht="16.5" customHeight="1" x14ac:dyDescent="0.2">
      <c r="A8" s="914" t="s">
        <v>540</v>
      </c>
      <c r="B8" s="914"/>
      <c r="C8" s="914"/>
      <c r="D8" s="786"/>
      <c r="E8" s="888"/>
      <c r="F8" s="794"/>
      <c r="H8" s="756" t="s">
        <v>55</v>
      </c>
      <c r="I8" s="757"/>
      <c r="J8" s="758"/>
      <c r="K8" s="487">
        <f t="shared" ref="K8:P15" si="0">D394</f>
        <v>0</v>
      </c>
      <c r="L8" s="297">
        <f t="shared" si="0"/>
        <v>0</v>
      </c>
      <c r="M8" s="487">
        <f t="shared" si="0"/>
        <v>0</v>
      </c>
      <c r="N8" s="297">
        <f t="shared" si="0"/>
        <v>0</v>
      </c>
      <c r="O8" s="487">
        <f t="shared" si="0"/>
        <v>0</v>
      </c>
      <c r="P8" s="478">
        <f t="shared" si="0"/>
        <v>0</v>
      </c>
      <c r="T8" s="34"/>
      <c r="U8" s="569" t="s">
        <v>204</v>
      </c>
      <c r="V8" s="34"/>
      <c r="W8" s="34"/>
      <c r="X8" s="398" t="s">
        <v>453</v>
      </c>
      <c r="Y8" s="34"/>
      <c r="AA8" s="570" t="s">
        <v>524</v>
      </c>
    </row>
    <row r="9" spans="1:29" ht="17.25" customHeight="1" x14ac:dyDescent="0.2">
      <c r="A9" s="588" t="s">
        <v>541</v>
      </c>
      <c r="B9" s="588"/>
      <c r="C9" s="588"/>
      <c r="D9" s="786"/>
      <c r="E9" s="888"/>
      <c r="F9" s="794"/>
      <c r="H9" s="759" t="s">
        <v>66</v>
      </c>
      <c r="I9" s="760"/>
      <c r="J9" s="761"/>
      <c r="K9" s="488">
        <f t="shared" si="0"/>
        <v>0</v>
      </c>
      <c r="L9" s="300">
        <f t="shared" si="0"/>
        <v>0</v>
      </c>
      <c r="M9" s="488">
        <f t="shared" si="0"/>
        <v>0</v>
      </c>
      <c r="N9" s="300">
        <f t="shared" si="0"/>
        <v>0</v>
      </c>
      <c r="O9" s="488">
        <f t="shared" si="0"/>
        <v>0</v>
      </c>
      <c r="P9" s="479">
        <f t="shared" si="0"/>
        <v>0</v>
      </c>
      <c r="T9" s="34"/>
      <c r="U9" s="569" t="s">
        <v>203</v>
      </c>
      <c r="V9" s="34">
        <v>6</v>
      </c>
      <c r="W9" s="34"/>
      <c r="X9" s="398" t="s">
        <v>454</v>
      </c>
      <c r="Y9" s="34"/>
      <c r="AA9" s="570" t="s">
        <v>572</v>
      </c>
    </row>
    <row r="10" spans="1:29" ht="17.25" customHeight="1" x14ac:dyDescent="0.2">
      <c r="A10" s="921" t="s">
        <v>608</v>
      </c>
      <c r="B10" s="922"/>
      <c r="C10" s="923"/>
      <c r="D10" s="786"/>
      <c r="E10" s="888"/>
      <c r="F10" s="794"/>
      <c r="H10" s="759" t="s">
        <v>107</v>
      </c>
      <c r="I10" s="760"/>
      <c r="J10" s="761"/>
      <c r="K10" s="488">
        <f t="shared" si="0"/>
        <v>0</v>
      </c>
      <c r="L10" s="300">
        <f t="shared" si="0"/>
        <v>0</v>
      </c>
      <c r="M10" s="488">
        <f t="shared" si="0"/>
        <v>0</v>
      </c>
      <c r="N10" s="300">
        <f t="shared" si="0"/>
        <v>0</v>
      </c>
      <c r="O10" s="488">
        <f t="shared" si="0"/>
        <v>0</v>
      </c>
      <c r="P10" s="479">
        <f t="shared" si="0"/>
        <v>0</v>
      </c>
      <c r="U10" s="569" t="s">
        <v>205</v>
      </c>
      <c r="V10" s="34">
        <v>5</v>
      </c>
      <c r="W10" s="34"/>
      <c r="X10" s="398"/>
      <c r="AA10" s="570" t="s">
        <v>573</v>
      </c>
    </row>
    <row r="11" spans="1:29" ht="16.5" customHeight="1" x14ac:dyDescent="0.2">
      <c r="A11" s="921" t="s">
        <v>444</v>
      </c>
      <c r="B11" s="922"/>
      <c r="C11" s="923"/>
      <c r="D11" s="786"/>
      <c r="E11" s="888"/>
      <c r="F11" s="794"/>
      <c r="H11" s="759" t="s">
        <v>67</v>
      </c>
      <c r="I11" s="760"/>
      <c r="J11" s="761"/>
      <c r="K11" s="488">
        <f t="shared" si="0"/>
        <v>0</v>
      </c>
      <c r="L11" s="300">
        <f t="shared" si="0"/>
        <v>0</v>
      </c>
      <c r="M11" s="488">
        <f t="shared" si="0"/>
        <v>0</v>
      </c>
      <c r="N11" s="300">
        <f t="shared" si="0"/>
        <v>0</v>
      </c>
      <c r="O11" s="488">
        <f t="shared" si="0"/>
        <v>0</v>
      </c>
      <c r="P11" s="479">
        <f t="shared" si="0"/>
        <v>0</v>
      </c>
      <c r="U11" s="569" t="s">
        <v>206</v>
      </c>
      <c r="V11" s="34">
        <v>4</v>
      </c>
      <c r="W11" s="34"/>
      <c r="X11" s="431" t="s">
        <v>447</v>
      </c>
    </row>
    <row r="12" spans="1:29" ht="16.5" customHeight="1" x14ac:dyDescent="0.2">
      <c r="A12" s="921" t="s">
        <v>443</v>
      </c>
      <c r="B12" s="922"/>
      <c r="C12" s="923"/>
      <c r="D12" s="890"/>
      <c r="E12" s="890"/>
      <c r="F12" s="890"/>
      <c r="H12" s="767" t="s">
        <v>129</v>
      </c>
      <c r="I12" s="768"/>
      <c r="J12" s="769"/>
      <c r="K12" s="489">
        <f t="shared" si="0"/>
        <v>0</v>
      </c>
      <c r="L12" s="477">
        <f t="shared" si="0"/>
        <v>0</v>
      </c>
      <c r="M12" s="489">
        <f t="shared" si="0"/>
        <v>0</v>
      </c>
      <c r="N12" s="477">
        <f t="shared" si="0"/>
        <v>0</v>
      </c>
      <c r="O12" s="489">
        <f t="shared" si="0"/>
        <v>0</v>
      </c>
      <c r="P12" s="480">
        <f t="shared" si="0"/>
        <v>0</v>
      </c>
      <c r="U12" s="313"/>
      <c r="V12" s="34"/>
      <c r="W12" s="34"/>
      <c r="X12" s="398" t="s">
        <v>571</v>
      </c>
      <c r="AB12" s="571" t="s">
        <v>614</v>
      </c>
      <c r="AC12" t="s">
        <v>625</v>
      </c>
    </row>
    <row r="13" spans="1:29" ht="16.5" customHeight="1" x14ac:dyDescent="0.2">
      <c r="A13" s="917" t="s">
        <v>403</v>
      </c>
      <c r="B13" s="917"/>
      <c r="C13" s="917"/>
      <c r="D13" s="700"/>
      <c r="E13" s="700"/>
      <c r="F13" s="700"/>
      <c r="H13" s="767" t="s">
        <v>130</v>
      </c>
      <c r="I13" s="768"/>
      <c r="J13" s="769"/>
      <c r="K13" s="489">
        <f t="shared" si="0"/>
        <v>0</v>
      </c>
      <c r="L13" s="477">
        <f t="shared" si="0"/>
        <v>0</v>
      </c>
      <c r="M13" s="489">
        <f t="shared" si="0"/>
        <v>0</v>
      </c>
      <c r="N13" s="477">
        <f t="shared" si="0"/>
        <v>0</v>
      </c>
      <c r="O13" s="489">
        <f t="shared" si="0"/>
        <v>0</v>
      </c>
      <c r="P13" s="480">
        <f t="shared" si="0"/>
        <v>0</v>
      </c>
      <c r="U13" s="336" t="s">
        <v>470</v>
      </c>
      <c r="X13" s="398" t="s">
        <v>455</v>
      </c>
      <c r="AB13" s="399" t="s">
        <v>615</v>
      </c>
      <c r="AC13" s="432" t="s">
        <v>404</v>
      </c>
    </row>
    <row r="14" spans="1:29" ht="16.5" customHeight="1" thickBot="1" x14ac:dyDescent="0.25">
      <c r="A14" s="917" t="s">
        <v>396</v>
      </c>
      <c r="B14" s="917"/>
      <c r="C14" s="917"/>
      <c r="D14" s="700"/>
      <c r="E14" s="700"/>
      <c r="F14" s="700"/>
      <c r="G14" t="str">
        <f>IF(D14=U22,"VER GUÍA","")</f>
        <v/>
      </c>
      <c r="H14" s="764" t="s">
        <v>110</v>
      </c>
      <c r="I14" s="765"/>
      <c r="J14" s="766"/>
      <c r="K14" s="490">
        <f t="shared" si="0"/>
        <v>1200</v>
      </c>
      <c r="L14" s="481">
        <f t="shared" si="0"/>
        <v>1200</v>
      </c>
      <c r="M14" s="490">
        <f t="shared" si="0"/>
        <v>1200</v>
      </c>
      <c r="N14" s="481">
        <f t="shared" si="0"/>
        <v>1200</v>
      </c>
      <c r="O14" s="490">
        <f t="shared" si="0"/>
        <v>2400</v>
      </c>
      <c r="P14" s="482">
        <f t="shared" si="0"/>
        <v>2400</v>
      </c>
      <c r="U14" s="313" t="s">
        <v>273</v>
      </c>
      <c r="X14" s="398" t="s">
        <v>456</v>
      </c>
      <c r="AB14" s="399" t="s">
        <v>616</v>
      </c>
      <c r="AC14" s="432" t="s">
        <v>404</v>
      </c>
    </row>
    <row r="15" spans="1:29" ht="17.25" customHeight="1" thickBot="1" x14ac:dyDescent="0.25">
      <c r="A15" s="919" t="s">
        <v>725</v>
      </c>
      <c r="B15" s="919"/>
      <c r="C15" s="919"/>
      <c r="D15" s="891"/>
      <c r="E15" s="892"/>
      <c r="F15" s="893"/>
      <c r="H15" s="692" t="s">
        <v>68</v>
      </c>
      <c r="I15" s="693"/>
      <c r="J15" s="694"/>
      <c r="K15" s="491">
        <f t="shared" si="0"/>
        <v>0</v>
      </c>
      <c r="L15" s="485">
        <f t="shared" si="0"/>
        <v>0</v>
      </c>
      <c r="M15" s="491">
        <f t="shared" si="0"/>
        <v>0</v>
      </c>
      <c r="N15" s="485">
        <f t="shared" si="0"/>
        <v>0</v>
      </c>
      <c r="O15" s="491">
        <f t="shared" si="0"/>
        <v>0</v>
      </c>
      <c r="P15" s="486">
        <f t="shared" si="0"/>
        <v>0</v>
      </c>
      <c r="U15" s="313" t="s">
        <v>274</v>
      </c>
      <c r="X15" s="398" t="s">
        <v>457</v>
      </c>
      <c r="AB15" s="399" t="s">
        <v>617</v>
      </c>
      <c r="AC15" s="432" t="s">
        <v>404</v>
      </c>
    </row>
    <row r="16" spans="1:29" ht="17.25" customHeight="1" thickBot="1" x14ac:dyDescent="0.25">
      <c r="A16" s="684" t="s">
        <v>728</v>
      </c>
      <c r="B16" s="685"/>
      <c r="C16" s="686"/>
      <c r="D16" s="687"/>
      <c r="E16" s="688"/>
      <c r="F16" s="638"/>
      <c r="H16" s="692" t="s">
        <v>60</v>
      </c>
      <c r="I16" s="693"/>
      <c r="J16" s="694"/>
      <c r="K16" s="492">
        <f t="shared" ref="K16:P16" si="1">D402</f>
        <v>1200</v>
      </c>
      <c r="L16" s="483">
        <f t="shared" si="1"/>
        <v>1200</v>
      </c>
      <c r="M16" s="492">
        <f t="shared" si="1"/>
        <v>1200</v>
      </c>
      <c r="N16" s="483">
        <f t="shared" si="1"/>
        <v>1200</v>
      </c>
      <c r="O16" s="492">
        <f t="shared" si="1"/>
        <v>2400</v>
      </c>
      <c r="P16" s="484">
        <f t="shared" si="1"/>
        <v>2400</v>
      </c>
      <c r="U16" s="313" t="s">
        <v>275</v>
      </c>
      <c r="W16" s="398"/>
      <c r="AB16" s="399" t="s">
        <v>618</v>
      </c>
      <c r="AC16" s="570" t="s">
        <v>405</v>
      </c>
    </row>
    <row r="17" spans="1:29" ht="16.5" customHeight="1" thickBot="1" x14ac:dyDescent="0.25">
      <c r="A17" s="749" t="s">
        <v>582</v>
      </c>
      <c r="B17" s="749"/>
      <c r="C17" s="749"/>
      <c r="D17" s="700"/>
      <c r="E17" s="700"/>
      <c r="F17" s="700"/>
      <c r="H17" s="692" t="s">
        <v>602</v>
      </c>
      <c r="I17" s="693"/>
      <c r="J17" s="694"/>
      <c r="K17" s="420"/>
      <c r="L17" s="602">
        <f>E412</f>
        <v>0</v>
      </c>
      <c r="M17" s="566"/>
      <c r="N17" s="602">
        <f>G412</f>
        <v>0</v>
      </c>
      <c r="O17" s="566"/>
      <c r="P17" s="603">
        <f>I412</f>
        <v>0</v>
      </c>
      <c r="Q17" s="396" t="str">
        <f>IF(D415&lt;100,"No se recorta por máximos","Recortado por superar máximos")</f>
        <v>No se recorta por máximos</v>
      </c>
      <c r="U17" s="124"/>
      <c r="X17" s="571" t="s">
        <v>448</v>
      </c>
      <c r="AB17" s="399" t="s">
        <v>619</v>
      </c>
      <c r="AC17" s="570" t="s">
        <v>405</v>
      </c>
    </row>
    <row r="18" spans="1:29" ht="17.25" customHeight="1" thickBot="1" x14ac:dyDescent="0.25">
      <c r="A18" s="749" t="s">
        <v>583</v>
      </c>
      <c r="B18" s="749"/>
      <c r="C18" s="749"/>
      <c r="D18" s="700"/>
      <c r="E18" s="700"/>
      <c r="F18" s="700"/>
      <c r="N18" s="586" t="s">
        <v>626</v>
      </c>
      <c r="U18" s="431" t="s">
        <v>403</v>
      </c>
      <c r="X18" s="398" t="s">
        <v>732</v>
      </c>
      <c r="AB18" s="399" t="s">
        <v>620</v>
      </c>
      <c r="AC18" s="570" t="s">
        <v>405</v>
      </c>
    </row>
    <row r="19" spans="1:29" ht="17.25" customHeight="1" thickBot="1" x14ac:dyDescent="0.25">
      <c r="D19" s="70"/>
      <c r="E19" s="70"/>
      <c r="F19" s="70"/>
      <c r="H19" s="606" t="s">
        <v>600</v>
      </c>
      <c r="I19" s="607"/>
      <c r="J19" s="608">
        <f>IF(B81="EL PROYECTO ESTÁ APROBADO",IF(D6=U8,1,IF(D15=U3,IF(D6=U9,MIN(M4*P4/100,0.05),IF(D6=U10,MIN(M4*P4/100,0.1),IF(D6=U11,MIN(M4*P4/100,0.15),M4*P4/100))),M4*P4/100)),0)</f>
        <v>0</v>
      </c>
      <c r="L19" s="567">
        <v>2021</v>
      </c>
      <c r="M19" s="563">
        <f>ROUND(L17/2,2)</f>
        <v>0</v>
      </c>
      <c r="O19" s="567">
        <v>2021</v>
      </c>
      <c r="P19" s="563">
        <f>M19</f>
        <v>0</v>
      </c>
      <c r="U19" s="569" t="s">
        <v>397</v>
      </c>
      <c r="X19" s="398" t="s">
        <v>458</v>
      </c>
      <c r="AB19" s="399" t="s">
        <v>621</v>
      </c>
      <c r="AC19" s="570" t="s">
        <v>405</v>
      </c>
    </row>
    <row r="20" spans="1:29" ht="17.25" customHeight="1" x14ac:dyDescent="0.2">
      <c r="A20" s="749" t="s">
        <v>410</v>
      </c>
      <c r="B20" s="749"/>
      <c r="C20" s="749"/>
      <c r="D20" s="890"/>
      <c r="E20" s="890"/>
      <c r="F20" s="890"/>
      <c r="L20" s="567" t="s">
        <v>606</v>
      </c>
      <c r="M20" s="563">
        <f>L17-M19</f>
        <v>0</v>
      </c>
      <c r="O20" s="567">
        <v>2022</v>
      </c>
      <c r="P20" s="563">
        <f>M20+M21</f>
        <v>0</v>
      </c>
      <c r="U20" s="432" t="s">
        <v>404</v>
      </c>
      <c r="X20" s="398" t="s">
        <v>459</v>
      </c>
      <c r="AB20" s="399" t="s">
        <v>622</v>
      </c>
      <c r="AC20" s="569" t="s">
        <v>400</v>
      </c>
    </row>
    <row r="21" spans="1:29" ht="17.25" customHeight="1" x14ac:dyDescent="0.2">
      <c r="A21" s="749" t="s">
        <v>411</v>
      </c>
      <c r="B21" s="749"/>
      <c r="C21" s="749"/>
      <c r="D21" s="890"/>
      <c r="E21" s="890"/>
      <c r="F21" s="890"/>
      <c r="L21" s="567" t="s">
        <v>607</v>
      </c>
      <c r="M21" s="563">
        <f>ROUND(N17/2,2)</f>
        <v>0</v>
      </c>
      <c r="O21" s="567">
        <v>2023</v>
      </c>
      <c r="P21" s="563">
        <f>M22</f>
        <v>0</v>
      </c>
      <c r="U21" s="570" t="s">
        <v>405</v>
      </c>
      <c r="X21" s="398" t="s">
        <v>460</v>
      </c>
      <c r="AB21" s="399" t="s">
        <v>623</v>
      </c>
      <c r="AC21" s="569" t="s">
        <v>400</v>
      </c>
    </row>
    <row r="22" spans="1:29" ht="17.25" customHeight="1" x14ac:dyDescent="0.2">
      <c r="L22" s="567">
        <v>2023</v>
      </c>
      <c r="M22" s="563">
        <f>N17-M21</f>
        <v>0</v>
      </c>
      <c r="U22" s="569" t="s">
        <v>400</v>
      </c>
      <c r="X22" s="398" t="s">
        <v>461</v>
      </c>
    </row>
    <row r="23" spans="1:29" ht="17.25" customHeight="1" x14ac:dyDescent="0.2">
      <c r="A23" s="438" t="s">
        <v>445</v>
      </c>
      <c r="B23" s="438"/>
      <c r="C23" s="438"/>
      <c r="D23" s="396"/>
      <c r="E23" s="396"/>
      <c r="F23" s="396"/>
      <c r="U23" s="432" t="s">
        <v>406</v>
      </c>
      <c r="X23" s="398" t="s">
        <v>462</v>
      </c>
    </row>
    <row r="24" spans="1:29" ht="15" x14ac:dyDescent="0.25">
      <c r="A24" s="920" t="s">
        <v>441</v>
      </c>
      <c r="B24" s="920"/>
      <c r="C24" s="920"/>
      <c r="D24" s="699" t="e">
        <f>VLOOKUP($D$2,[1]Hoja1!$A$2:$AD$1000,1,FALSE)</f>
        <v>#N/A</v>
      </c>
      <c r="E24" s="699"/>
      <c r="F24" s="699"/>
      <c r="G24" s="880" t="s">
        <v>468</v>
      </c>
      <c r="H24" s="880"/>
      <c r="I24" s="880"/>
      <c r="L24" s="450" t="s">
        <v>542</v>
      </c>
      <c r="M24" s="451"/>
      <c r="N24" s="451"/>
      <c r="O24" s="452"/>
      <c r="P24" s="414" t="str">
        <f xml:space="preserve"> IF(COUNTIFS(P25:P31,U3)=7,U3,U4)</f>
        <v>NO</v>
      </c>
      <c r="U24" s="124"/>
      <c r="X24" s="398" t="s">
        <v>463</v>
      </c>
    </row>
    <row r="25" spans="1:29" ht="15" x14ac:dyDescent="0.25">
      <c r="A25" s="864" t="s">
        <v>412</v>
      </c>
      <c r="B25" s="864"/>
      <c r="C25" s="864"/>
      <c r="D25" s="699" t="e">
        <f>VLOOKUP($D$2,[1]Hoja1!$A$2:$AD$1000,2,FALSE)</f>
        <v>#N/A</v>
      </c>
      <c r="E25" s="699"/>
      <c r="F25" s="699"/>
      <c r="G25" s="881">
        <f>'PROYECTO-DATOS GENERALES'!$B$5</f>
        <v>0</v>
      </c>
      <c r="H25" s="881"/>
      <c r="I25" s="881"/>
      <c r="L25" s="772" t="s">
        <v>531</v>
      </c>
      <c r="M25" s="773"/>
      <c r="N25" s="773"/>
      <c r="O25" s="774"/>
      <c r="P25" s="639"/>
      <c r="U25" s="571" t="s">
        <v>396</v>
      </c>
      <c r="X25" s="398" t="s">
        <v>464</v>
      </c>
    </row>
    <row r="26" spans="1:29" ht="15" x14ac:dyDescent="0.25">
      <c r="A26" s="864" t="s">
        <v>413</v>
      </c>
      <c r="B26" s="864"/>
      <c r="C26" s="864"/>
      <c r="D26" s="894" t="e">
        <f>VLOOKUP($D$2,[1]Hoja1!$A$2:$AD$1000,3,FALSE)</f>
        <v>#N/A</v>
      </c>
      <c r="E26" s="894"/>
      <c r="F26" s="894"/>
      <c r="G26" s="882">
        <f>'PRESUPUESTO TOTAL'!F12</f>
        <v>2400</v>
      </c>
      <c r="H26" s="882"/>
      <c r="I26" s="882"/>
      <c r="L26" s="772" t="s">
        <v>589</v>
      </c>
      <c r="M26" s="773"/>
      <c r="N26" s="773"/>
      <c r="O26" s="774"/>
      <c r="P26" s="639"/>
      <c r="U26" s="569" t="s">
        <v>397</v>
      </c>
      <c r="X26" s="398" t="s">
        <v>465</v>
      </c>
    </row>
    <row r="27" spans="1:29" ht="15" x14ac:dyDescent="0.25">
      <c r="A27" s="864" t="s">
        <v>414</v>
      </c>
      <c r="B27" s="864"/>
      <c r="C27" s="864"/>
      <c r="D27" s="883" t="e">
        <f>VLOOKUP($D$2,[1]Hoja1!$A$2:$AD$1000,4,FALSE)</f>
        <v>#N/A</v>
      </c>
      <c r="E27" s="883"/>
      <c r="F27" s="883"/>
      <c r="G27" s="883">
        <f>'PROYECTO-DATOS GENERALES'!$C$11</f>
        <v>0</v>
      </c>
      <c r="H27" s="883"/>
      <c r="I27" s="883"/>
      <c r="L27" s="772" t="s">
        <v>588</v>
      </c>
      <c r="M27" s="773"/>
      <c r="N27" s="773"/>
      <c r="O27" s="774"/>
      <c r="P27" s="639"/>
      <c r="U27" s="569" t="s">
        <v>398</v>
      </c>
      <c r="X27" s="398" t="s">
        <v>466</v>
      </c>
    </row>
    <row r="28" spans="1:29" ht="15" x14ac:dyDescent="0.25">
      <c r="A28" s="864" t="s">
        <v>415</v>
      </c>
      <c r="B28" s="864"/>
      <c r="C28" s="864"/>
      <c r="D28" s="883" t="e">
        <f>VLOOKUP($D$2,[1]Hoja1!$A$2:$AD$1000,5,FALSE)</f>
        <v>#N/A</v>
      </c>
      <c r="E28" s="883"/>
      <c r="F28" s="883"/>
      <c r="G28" s="883">
        <f>'PROYECTO-DATOS GENERALES'!$C$12</f>
        <v>0</v>
      </c>
      <c r="H28" s="883"/>
      <c r="I28" s="883"/>
      <c r="L28" s="772" t="s">
        <v>611</v>
      </c>
      <c r="M28" s="773"/>
      <c r="N28" s="773"/>
      <c r="O28" s="774"/>
      <c r="P28" s="639"/>
      <c r="U28" s="569" t="s">
        <v>399</v>
      </c>
      <c r="X28" s="398" t="s">
        <v>467</v>
      </c>
    </row>
    <row r="29" spans="1:29" ht="15" x14ac:dyDescent="0.25">
      <c r="A29" s="864" t="s">
        <v>416</v>
      </c>
      <c r="B29" s="864"/>
      <c r="C29" s="864"/>
      <c r="D29" s="699" t="e">
        <f>VLOOKUP($D$2,[1]Hoja1!$A$2:$AD$1000,6,FALSE)</f>
        <v>#N/A</v>
      </c>
      <c r="E29" s="699"/>
      <c r="F29" s="699"/>
      <c r="G29" s="699"/>
      <c r="H29" s="699"/>
      <c r="I29" s="699"/>
      <c r="L29" s="596" t="s">
        <v>532</v>
      </c>
      <c r="M29" s="597"/>
      <c r="N29" s="597"/>
      <c r="O29" s="598"/>
      <c r="P29" s="639"/>
      <c r="U29" s="569" t="s">
        <v>400</v>
      </c>
      <c r="X29" s="398" t="s">
        <v>452</v>
      </c>
    </row>
    <row r="30" spans="1:29" ht="15" x14ac:dyDescent="0.25">
      <c r="A30" s="864" t="s">
        <v>417</v>
      </c>
      <c r="B30" s="864"/>
      <c r="C30" s="864"/>
      <c r="D30" s="699" t="e">
        <f>VLOOKUP($D$2,[1]Hoja1!$A$2:$AD$1000,7,FALSE)</f>
        <v>#N/A</v>
      </c>
      <c r="E30" s="699"/>
      <c r="F30" s="699"/>
      <c r="G30" s="699"/>
      <c r="H30" s="699"/>
      <c r="I30" s="699"/>
      <c r="L30" s="772" t="s">
        <v>609</v>
      </c>
      <c r="M30" s="773"/>
      <c r="N30" s="773"/>
      <c r="O30" s="774"/>
      <c r="P30" s="639"/>
      <c r="U30" s="569" t="s">
        <v>401</v>
      </c>
      <c r="X30" s="313"/>
    </row>
    <row r="31" spans="1:29" ht="15" x14ac:dyDescent="0.25">
      <c r="A31" s="864" t="s">
        <v>418</v>
      </c>
      <c r="B31" s="864"/>
      <c r="C31" s="864"/>
      <c r="D31" s="884" t="e">
        <f>VLOOKUP($D$2,[1]Hoja1!$A$2:$AD$1000,8,FALSE)</f>
        <v>#N/A</v>
      </c>
      <c r="E31" s="884"/>
      <c r="F31" s="884"/>
      <c r="G31" s="700"/>
      <c r="H31" s="700"/>
      <c r="I31" s="700"/>
      <c r="J31" s="399" t="s">
        <v>574</v>
      </c>
      <c r="L31" s="956" t="s">
        <v>610</v>
      </c>
      <c r="M31" s="956"/>
      <c r="N31" s="956"/>
      <c r="O31" s="956"/>
      <c r="P31" s="639"/>
      <c r="U31" s="124"/>
    </row>
    <row r="32" spans="1:29" ht="15" x14ac:dyDescent="0.25">
      <c r="A32" s="864" t="s">
        <v>419</v>
      </c>
      <c r="B32" s="864"/>
      <c r="C32" s="864"/>
      <c r="D32" s="699" t="e">
        <f>VLOOKUP($D$2,[1]Hoja1!$A$2:$AD$1000,9,FALSE)</f>
        <v>#N/A</v>
      </c>
      <c r="E32" s="699"/>
      <c r="F32" s="699"/>
      <c r="G32" s="699"/>
      <c r="H32" s="699"/>
      <c r="I32" s="699"/>
      <c r="U32" s="431" t="s">
        <v>407</v>
      </c>
    </row>
    <row r="33" spans="1:22" ht="15.75" thickBot="1" x14ac:dyDescent="0.3">
      <c r="A33" s="864" t="s">
        <v>420</v>
      </c>
      <c r="B33" s="864"/>
      <c r="C33" s="864"/>
      <c r="D33" s="884" t="e">
        <f>VLOOKUP($D$2,[1]Hoja1!$A$2:$AD$1000,10,FALSE)</f>
        <v>#N/A</v>
      </c>
      <c r="E33" s="884"/>
      <c r="F33" s="884"/>
      <c r="G33" s="700"/>
      <c r="H33" s="700"/>
      <c r="I33" s="700"/>
      <c r="J33" s="399" t="s">
        <v>574</v>
      </c>
      <c r="L33" s="441" t="s">
        <v>599</v>
      </c>
      <c r="U33" s="569" t="s">
        <v>397</v>
      </c>
    </row>
    <row r="34" spans="1:22" ht="15" x14ac:dyDescent="0.25">
      <c r="A34" s="864" t="s">
        <v>421</v>
      </c>
      <c r="B34" s="864"/>
      <c r="C34" s="864"/>
      <c r="D34" s="699" t="e">
        <f>VLOOKUP($D$2,[1]Hoja1!$A$2:$AD$1000,11,FALSE)</f>
        <v>#N/A</v>
      </c>
      <c r="E34" s="699"/>
      <c r="F34" s="699"/>
      <c r="G34" s="699"/>
      <c r="H34" s="699"/>
      <c r="I34" s="699"/>
      <c r="L34" s="730" t="s">
        <v>598</v>
      </c>
      <c r="M34" s="731"/>
      <c r="N34" s="731" t="s">
        <v>597</v>
      </c>
      <c r="O34" s="731"/>
      <c r="P34" s="731"/>
      <c r="Q34" s="689" t="s">
        <v>596</v>
      </c>
      <c r="R34" s="690"/>
      <c r="S34" s="691"/>
      <c r="U34" s="432" t="s">
        <v>408</v>
      </c>
    </row>
    <row r="35" spans="1:22" ht="15" x14ac:dyDescent="0.25">
      <c r="A35" s="864" t="s">
        <v>422</v>
      </c>
      <c r="B35" s="864"/>
      <c r="C35" s="864"/>
      <c r="D35" s="884" t="e">
        <f>VLOOKUP($D$2,[1]Hoja1!$A$2:$AD$1000,12,FALSE)</f>
        <v>#N/A</v>
      </c>
      <c r="E35" s="884"/>
      <c r="F35" s="884"/>
      <c r="G35" s="700"/>
      <c r="H35" s="700"/>
      <c r="I35" s="700"/>
      <c r="J35" s="399" t="s">
        <v>574</v>
      </c>
      <c r="L35" s="732"/>
      <c r="M35" s="733"/>
      <c r="N35" s="733"/>
      <c r="O35" s="733"/>
      <c r="P35" s="733"/>
      <c r="Q35" s="614" t="s">
        <v>206</v>
      </c>
      <c r="R35" s="614" t="s">
        <v>205</v>
      </c>
      <c r="S35" s="615" t="s">
        <v>203</v>
      </c>
      <c r="U35" s="570" t="s">
        <v>702</v>
      </c>
      <c r="V35" s="570" t="s">
        <v>703</v>
      </c>
    </row>
    <row r="36" spans="1:22" ht="15" x14ac:dyDescent="0.25">
      <c r="A36" s="864" t="s">
        <v>423</v>
      </c>
      <c r="B36" s="864"/>
      <c r="C36" s="864"/>
      <c r="D36" s="699" t="e">
        <f>VLOOKUP($D$2,[1]Hoja1!$A$2:$AD$1000,13,FALSE)</f>
        <v>#N/A</v>
      </c>
      <c r="E36" s="699"/>
      <c r="F36" s="699"/>
      <c r="G36" s="699"/>
      <c r="H36" s="699"/>
      <c r="I36" s="699"/>
      <c r="L36" s="735" t="s">
        <v>404</v>
      </c>
      <c r="M36" s="736"/>
      <c r="N36" s="734" t="s">
        <v>273</v>
      </c>
      <c r="O36" s="734"/>
      <c r="P36" s="734"/>
      <c r="Q36" s="616">
        <v>0.7</v>
      </c>
      <c r="R36" s="616">
        <v>0.5</v>
      </c>
      <c r="S36" s="617">
        <v>0.35</v>
      </c>
      <c r="U36" s="570" t="s">
        <v>704</v>
      </c>
      <c r="V36" s="570" t="s">
        <v>712</v>
      </c>
    </row>
    <row r="37" spans="1:22" ht="15" x14ac:dyDescent="0.25">
      <c r="A37" s="864" t="s">
        <v>424</v>
      </c>
      <c r="B37" s="864"/>
      <c r="C37" s="864"/>
      <c r="D37" s="884" t="e">
        <f>VLOOKUP($D$2,[1]Hoja1!$A$2:$AD$1000,14,FALSE)</f>
        <v>#N/A</v>
      </c>
      <c r="E37" s="884"/>
      <c r="F37" s="884"/>
      <c r="G37" s="881" t="str">
        <f>'EMPRESA-DATOS GENERALES'!$F$3</f>
        <v>Organismo de Investigación</v>
      </c>
      <c r="H37" s="881"/>
      <c r="I37" s="881"/>
      <c r="L37" s="737"/>
      <c r="M37" s="738"/>
      <c r="N37" s="734" t="s">
        <v>274</v>
      </c>
      <c r="O37" s="734"/>
      <c r="P37" s="734"/>
      <c r="Q37" s="616">
        <v>0.8</v>
      </c>
      <c r="R37" s="616">
        <v>0.65</v>
      </c>
      <c r="S37" s="617">
        <v>0.5</v>
      </c>
      <c r="U37" s="570" t="s">
        <v>705</v>
      </c>
      <c r="V37" s="570" t="s">
        <v>713</v>
      </c>
    </row>
    <row r="38" spans="1:22" ht="15" x14ac:dyDescent="0.25">
      <c r="A38" s="864" t="s">
        <v>425</v>
      </c>
      <c r="B38" s="864"/>
      <c r="C38" s="864"/>
      <c r="D38" s="699" t="e">
        <f>VLOOKUP($D$2,[1]Hoja1!$A$2:$AD$1000,15,FALSE)</f>
        <v>#N/A</v>
      </c>
      <c r="E38" s="699"/>
      <c r="F38" s="699"/>
      <c r="G38" s="699"/>
      <c r="H38" s="699"/>
      <c r="I38" s="699"/>
      <c r="L38" s="739"/>
      <c r="M38" s="740"/>
      <c r="N38" s="734" t="s">
        <v>275</v>
      </c>
      <c r="O38" s="734"/>
      <c r="P38" s="734"/>
      <c r="Q38" s="616">
        <v>0.8</v>
      </c>
      <c r="R38" s="616">
        <v>0.65</v>
      </c>
      <c r="S38" s="617">
        <v>0.5</v>
      </c>
      <c r="U38" s="570" t="s">
        <v>706</v>
      </c>
      <c r="V38" s="570" t="s">
        <v>714</v>
      </c>
    </row>
    <row r="39" spans="1:22" ht="15" x14ac:dyDescent="0.25">
      <c r="A39" s="864" t="s">
        <v>426</v>
      </c>
      <c r="B39" s="864"/>
      <c r="C39" s="864"/>
      <c r="D39" s="884" t="e">
        <f>VLOOKUP($D$2,[1]Hoja1!$A$2:$AD$1000,16,FALSE)</f>
        <v>#N/A</v>
      </c>
      <c r="E39" s="884"/>
      <c r="F39" s="884"/>
      <c r="G39" s="881">
        <f>$D$6</f>
        <v>0</v>
      </c>
      <c r="H39" s="881"/>
      <c r="I39" s="881"/>
      <c r="L39" s="735" t="s">
        <v>405</v>
      </c>
      <c r="M39" s="736"/>
      <c r="N39" s="734" t="s">
        <v>273</v>
      </c>
      <c r="O39" s="734"/>
      <c r="P39" s="734"/>
      <c r="Q39" s="616">
        <v>0.45</v>
      </c>
      <c r="R39" s="616">
        <v>0.25</v>
      </c>
      <c r="S39" s="617">
        <v>0.1</v>
      </c>
      <c r="U39" s="570" t="s">
        <v>707</v>
      </c>
      <c r="V39" s="570" t="s">
        <v>715</v>
      </c>
    </row>
    <row r="40" spans="1:22" ht="15.75" thickBot="1" x14ac:dyDescent="0.3">
      <c r="A40" s="864" t="s">
        <v>427</v>
      </c>
      <c r="B40" s="864"/>
      <c r="C40" s="864"/>
      <c r="D40" s="699" t="e">
        <f>VLOOKUP($D$2,[1]Hoja1!$A$2:$AD$1000,17,FALSE)</f>
        <v>#N/A</v>
      </c>
      <c r="E40" s="699"/>
      <c r="F40" s="699"/>
      <c r="G40" s="699"/>
      <c r="H40" s="699"/>
      <c r="I40" s="699"/>
      <c r="L40" s="737"/>
      <c r="M40" s="738"/>
      <c r="N40" s="734" t="s">
        <v>274</v>
      </c>
      <c r="O40" s="734"/>
      <c r="P40" s="734"/>
      <c r="Q40" s="618">
        <v>0.6</v>
      </c>
      <c r="R40" s="618">
        <v>0.4</v>
      </c>
      <c r="S40" s="619">
        <v>0.25</v>
      </c>
      <c r="U40" s="570" t="s">
        <v>708</v>
      </c>
      <c r="V40" s="570" t="s">
        <v>716</v>
      </c>
    </row>
    <row r="41" spans="1:22" ht="15.75" thickBot="1" x14ac:dyDescent="0.3">
      <c r="A41" s="864" t="s">
        <v>428</v>
      </c>
      <c r="B41" s="864"/>
      <c r="C41" s="864"/>
      <c r="D41" s="884" t="e">
        <f>VLOOKUP($D$2,[1]Hoja1!$A$2:$AD$1000,18,FALSE)</f>
        <v>#N/A</v>
      </c>
      <c r="E41" s="884"/>
      <c r="F41" s="884"/>
      <c r="G41" s="881" t="str">
        <f>$D$7</f>
        <v>TRANSFERENCIA DEL CONOCIMIENTO</v>
      </c>
      <c r="H41" s="881"/>
      <c r="I41" s="881"/>
      <c r="L41" s="741"/>
      <c r="M41" s="742"/>
      <c r="N41" s="775" t="s">
        <v>275</v>
      </c>
      <c r="O41" s="775"/>
      <c r="P41" s="775"/>
      <c r="Q41" s="618">
        <v>0.6</v>
      </c>
      <c r="R41" s="618">
        <v>0.4</v>
      </c>
      <c r="S41" s="619">
        <v>0.25</v>
      </c>
      <c r="U41" s="570" t="s">
        <v>709</v>
      </c>
      <c r="V41" s="570" t="s">
        <v>717</v>
      </c>
    </row>
    <row r="42" spans="1:22" ht="15" x14ac:dyDescent="0.25">
      <c r="A42" s="864" t="s">
        <v>429</v>
      </c>
      <c r="B42" s="864"/>
      <c r="C42" s="864"/>
      <c r="D42" s="699" t="e">
        <f>VLOOKUP($D$2,[1]Hoja1!$A$2:$AD$1000,19,FALSE)</f>
        <v>#N/A</v>
      </c>
      <c r="E42" s="699"/>
      <c r="F42" s="699"/>
      <c r="G42" s="699"/>
      <c r="H42" s="699"/>
      <c r="I42" s="699"/>
      <c r="U42" s="570" t="s">
        <v>709</v>
      </c>
      <c r="V42" s="570" t="s">
        <v>718</v>
      </c>
    </row>
    <row r="43" spans="1:22" ht="15" x14ac:dyDescent="0.25">
      <c r="A43" s="864" t="s">
        <v>430</v>
      </c>
      <c r="B43" s="864"/>
      <c r="C43" s="864"/>
      <c r="D43" s="884" t="e">
        <f>VLOOKUP($D$2,[1]Hoja1!$A$2:$AD$1000,20,FALSE)</f>
        <v>#N/A</v>
      </c>
      <c r="E43" s="884"/>
      <c r="F43" s="884"/>
      <c r="G43" s="885"/>
      <c r="H43" s="885"/>
      <c r="I43" s="885"/>
      <c r="U43" s="570" t="s">
        <v>709</v>
      </c>
      <c r="V43" s="570" t="s">
        <v>719</v>
      </c>
    </row>
    <row r="44" spans="1:22" ht="15" x14ac:dyDescent="0.25">
      <c r="A44" s="864" t="s">
        <v>431</v>
      </c>
      <c r="B44" s="864"/>
      <c r="C44" s="864"/>
      <c r="D44" s="699" t="e">
        <f>VLOOKUP($D$2,[1]Hoja1!$A$2:$AD$1000,21,FALSE)</f>
        <v>#N/A</v>
      </c>
      <c r="E44" s="699"/>
      <c r="F44" s="699"/>
      <c r="G44" s="699"/>
      <c r="H44" s="699"/>
      <c r="I44" s="699"/>
      <c r="U44" s="570" t="s">
        <v>710</v>
      </c>
      <c r="V44" s="570" t="s">
        <v>720</v>
      </c>
    </row>
    <row r="45" spans="1:22" ht="15" x14ac:dyDescent="0.25">
      <c r="A45" s="864" t="s">
        <v>432</v>
      </c>
      <c r="B45" s="864"/>
      <c r="C45" s="864"/>
      <c r="D45" s="699" t="e">
        <f>VLOOKUP($D$2,[1]Hoja1!$A$2:$AD$1000,22,FALSE)</f>
        <v>#N/A</v>
      </c>
      <c r="E45" s="699"/>
      <c r="F45" s="699"/>
      <c r="G45" s="699"/>
      <c r="H45" s="699"/>
      <c r="I45" s="699"/>
      <c r="U45" s="570" t="s">
        <v>711</v>
      </c>
      <c r="V45" s="570" t="s">
        <v>721</v>
      </c>
    </row>
    <row r="46" spans="1:22" ht="15" x14ac:dyDescent="0.25">
      <c r="A46" s="864" t="s">
        <v>433</v>
      </c>
      <c r="B46" s="864"/>
      <c r="C46" s="864"/>
      <c r="D46" s="884" t="e">
        <f>VLOOKUP($D$2,[1]Hoja1!$A$2:$AD$1000,23,FALSE)</f>
        <v>#N/A</v>
      </c>
      <c r="E46" s="884"/>
      <c r="F46" s="884"/>
      <c r="G46" s="699"/>
      <c r="H46" s="699"/>
      <c r="I46" s="699"/>
    </row>
    <row r="47" spans="1:22" ht="15" x14ac:dyDescent="0.25">
      <c r="A47" s="864" t="s">
        <v>434</v>
      </c>
      <c r="B47" s="864"/>
      <c r="C47" s="864"/>
      <c r="D47" s="883" t="e">
        <f>VLOOKUP($D$2,[1]Hoja1!$A$2:$AD$1000,24,FALSE)</f>
        <v>#N/A</v>
      </c>
      <c r="E47" s="883"/>
      <c r="F47" s="883"/>
      <c r="G47" s="908">
        <f>D16</f>
        <v>0</v>
      </c>
      <c r="H47" s="881"/>
      <c r="I47" s="881"/>
    </row>
    <row r="48" spans="1:22" ht="15" x14ac:dyDescent="0.25">
      <c r="A48" s="864" t="s">
        <v>435</v>
      </c>
      <c r="B48" s="864"/>
      <c r="C48" s="864"/>
      <c r="D48" s="884" t="e">
        <f>VLOOKUP($D$2,[1]Hoja1!$A$2:$AD$1000,25,FALSE)</f>
        <v>#N/A</v>
      </c>
      <c r="E48" s="884"/>
      <c r="F48" s="884"/>
      <c r="G48" s="881">
        <f>D15</f>
        <v>0</v>
      </c>
      <c r="H48" s="881"/>
      <c r="I48" s="881"/>
      <c r="M48" s="695" t="s">
        <v>569</v>
      </c>
      <c r="N48" s="553" t="s">
        <v>562</v>
      </c>
      <c r="O48" s="552">
        <v>15</v>
      </c>
      <c r="P48" s="552">
        <v>17</v>
      </c>
      <c r="Q48" s="552">
        <v>20</v>
      </c>
    </row>
    <row r="49" spans="1:33" ht="15" x14ac:dyDescent="0.25">
      <c r="A49" s="864" t="s">
        <v>436</v>
      </c>
      <c r="B49" s="864"/>
      <c r="C49" s="864"/>
      <c r="D49" s="699" t="e">
        <f>VLOOKUP($D$2,[1]Hoja1!$A$2:$AD$1000,26,FALSE)</f>
        <v>#N/A</v>
      </c>
      <c r="E49" s="699"/>
      <c r="F49" s="699"/>
      <c r="G49" s="699"/>
      <c r="H49" s="699"/>
      <c r="I49" s="699"/>
      <c r="M49" s="696"/>
      <c r="N49" s="553" t="s">
        <v>563</v>
      </c>
      <c r="O49" s="552">
        <v>12</v>
      </c>
      <c r="P49" s="552">
        <v>15</v>
      </c>
      <c r="Q49" s="552">
        <v>17</v>
      </c>
    </row>
    <row r="50" spans="1:33" ht="15" x14ac:dyDescent="0.25">
      <c r="A50" s="864" t="s">
        <v>437</v>
      </c>
      <c r="B50" s="864"/>
      <c r="C50" s="864"/>
      <c r="D50" s="884" t="e">
        <f>VLOOKUP($D$2,[1]Hoja1!$A$2:$AD$1000,27,FALSE)</f>
        <v>#N/A</v>
      </c>
      <c r="E50" s="884"/>
      <c r="F50" s="884"/>
      <c r="G50" s="700"/>
      <c r="H50" s="700"/>
      <c r="I50" s="700"/>
      <c r="J50" s="399" t="s">
        <v>529</v>
      </c>
      <c r="M50" s="696"/>
      <c r="N50" s="553" t="s">
        <v>564</v>
      </c>
      <c r="O50" s="552">
        <v>10</v>
      </c>
      <c r="P50" s="552">
        <v>12</v>
      </c>
      <c r="Q50" s="552">
        <v>15</v>
      </c>
    </row>
    <row r="51" spans="1:33" ht="15" x14ac:dyDescent="0.25">
      <c r="A51" s="864" t="s">
        <v>438</v>
      </c>
      <c r="B51" s="864"/>
      <c r="C51" s="864"/>
      <c r="D51" s="699" t="e">
        <f>VLOOKUP($D$2,[1]Hoja1!$A$2:$AD$1000,28,FALSE)</f>
        <v>#N/A</v>
      </c>
      <c r="E51" s="699"/>
      <c r="F51" s="699"/>
      <c r="G51" s="699"/>
      <c r="H51" s="699"/>
      <c r="I51" s="699"/>
      <c r="M51" s="745" t="s">
        <v>570</v>
      </c>
      <c r="N51" s="746"/>
      <c r="O51" s="553" t="s">
        <v>565</v>
      </c>
      <c r="P51" s="553" t="s">
        <v>566</v>
      </c>
      <c r="Q51" s="553" t="s">
        <v>567</v>
      </c>
    </row>
    <row r="52" spans="1:33" ht="15" x14ac:dyDescent="0.25">
      <c r="A52" s="864" t="s">
        <v>439</v>
      </c>
      <c r="B52" s="864"/>
      <c r="C52" s="864"/>
      <c r="D52" s="884" t="e">
        <f>VLOOKUP($D$2,[1]Hoja1!$A$2:$AD$1000,29,FALSE)</f>
        <v>#N/A</v>
      </c>
      <c r="E52" s="884"/>
      <c r="F52" s="884"/>
      <c r="G52" s="700"/>
      <c r="H52" s="700"/>
      <c r="I52" s="700"/>
      <c r="J52" s="399" t="s">
        <v>529</v>
      </c>
      <c r="M52" s="747"/>
      <c r="N52" s="748"/>
      <c r="O52" s="696" t="s">
        <v>568</v>
      </c>
      <c r="P52" s="696"/>
      <c r="Q52" s="696"/>
    </row>
    <row r="53" spans="1:33" ht="15" x14ac:dyDescent="0.25">
      <c r="A53" s="864" t="s">
        <v>440</v>
      </c>
      <c r="B53" s="864"/>
      <c r="C53" s="864"/>
      <c r="D53" s="884" t="e">
        <f>VLOOKUP($D$2,[1]Hoja1!$A$2:$AD$1000,30,FALSE)</f>
        <v>#N/A</v>
      </c>
      <c r="E53" s="884"/>
      <c r="F53" s="884"/>
      <c r="G53" s="699"/>
      <c r="H53" s="699"/>
      <c r="I53" s="699"/>
    </row>
    <row r="54" spans="1:33" ht="13.5" thickBot="1" x14ac:dyDescent="0.25"/>
    <row r="55" spans="1:33" ht="13.5" thickBot="1" x14ac:dyDescent="0.25">
      <c r="A55" s="426"/>
      <c r="B55" s="428" t="s">
        <v>627</v>
      </c>
      <c r="C55" s="469"/>
      <c r="D55" s="426"/>
      <c r="E55" s="426"/>
      <c r="F55" s="426"/>
      <c r="G55" s="426"/>
      <c r="H55" s="426"/>
      <c r="I55" s="426"/>
      <c r="J55" s="426"/>
      <c r="K55" s="426"/>
      <c r="L55" s="426"/>
      <c r="M55" s="426"/>
      <c r="N55" s="426"/>
      <c r="O55" s="426"/>
      <c r="P55" s="426"/>
      <c r="Q55" s="426"/>
      <c r="R55" s="426"/>
      <c r="T55" s="453" t="s">
        <v>548</v>
      </c>
      <c r="U55" s="457"/>
      <c r="V55" s="457"/>
      <c r="W55" s="457"/>
      <c r="X55" s="457"/>
      <c r="Y55" s="457"/>
      <c r="Z55" s="458"/>
      <c r="AB55" s="455"/>
      <c r="AC55" s="455"/>
      <c r="AD55" s="455"/>
      <c r="AE55" s="455"/>
      <c r="AF55" s="455"/>
      <c r="AG55" s="455"/>
    </row>
    <row r="56" spans="1:33" ht="12.75" customHeight="1" x14ac:dyDescent="0.2">
      <c r="A56" s="403"/>
      <c r="B56" s="910" t="s">
        <v>513</v>
      </c>
      <c r="C56" s="911"/>
      <c r="D56" s="911"/>
      <c r="E56" s="912"/>
      <c r="F56" s="395"/>
      <c r="G56" s="401" t="s">
        <v>489</v>
      </c>
      <c r="H56" s="401" t="s">
        <v>490</v>
      </c>
      <c r="I56" s="582" t="s">
        <v>491</v>
      </c>
      <c r="J56" s="844" t="s">
        <v>730</v>
      </c>
      <c r="K56" s="844"/>
      <c r="L56" s="844"/>
      <c r="M56" s="844"/>
      <c r="N56" s="803" t="s">
        <v>731</v>
      </c>
      <c r="O56" s="804"/>
      <c r="P56" s="804"/>
      <c r="Q56" s="805"/>
      <c r="R56" s="400" t="s">
        <v>516</v>
      </c>
      <c r="T56" s="442" t="s">
        <v>534</v>
      </c>
      <c r="U56" s="583" t="s">
        <v>543</v>
      </c>
      <c r="V56" s="583" t="s">
        <v>544</v>
      </c>
      <c r="W56" s="583" t="s">
        <v>545</v>
      </c>
      <c r="X56" s="583" t="s">
        <v>546</v>
      </c>
      <c r="Y56" s="583" t="s">
        <v>547</v>
      </c>
      <c r="Z56" s="584" t="s">
        <v>533</v>
      </c>
      <c r="AB56" s="455"/>
      <c r="AC56" s="455"/>
      <c r="AD56" s="455"/>
      <c r="AE56" s="455"/>
      <c r="AF56" s="455"/>
      <c r="AG56" s="455"/>
    </row>
    <row r="57" spans="1:33" x14ac:dyDescent="0.2">
      <c r="A57" s="433" t="s">
        <v>492</v>
      </c>
      <c r="B57" s="865" t="s">
        <v>471</v>
      </c>
      <c r="C57" s="866"/>
      <c r="D57" s="866"/>
      <c r="E57" s="867"/>
      <c r="F57" s="589" t="s">
        <v>472</v>
      </c>
      <c r="G57" s="622">
        <f>SUM(G58:G60)</f>
        <v>0</v>
      </c>
      <c r="H57" s="622">
        <f>SUM(H58:H60)</f>
        <v>0</v>
      </c>
      <c r="I57" s="622">
        <f>IF(H57&gt;0,AVERAGE(G57,H57),G57)</f>
        <v>0</v>
      </c>
      <c r="J57" s="845"/>
      <c r="K57" s="845"/>
      <c r="L57" s="845"/>
      <c r="M57" s="845"/>
      <c r="N57" s="806"/>
      <c r="O57" s="807"/>
      <c r="P57" s="807"/>
      <c r="Q57" s="808"/>
      <c r="R57" s="562">
        <v>15</v>
      </c>
      <c r="T57" s="443">
        <f>IFERROR(AVERAGEIFS(U57:Z57,U57:Z57,"&gt;0"),0)</f>
        <v>0</v>
      </c>
      <c r="U57" s="595">
        <f>IFERROR([2]VALORACION!$I57,0)</f>
        <v>0</v>
      </c>
      <c r="V57" s="595">
        <f>IFERROR([3]VALORACION!$I57,0)</f>
        <v>0</v>
      </c>
      <c r="W57" s="595">
        <f>IFERROR([4]VALORACION!$I57,0)</f>
        <v>0</v>
      </c>
      <c r="X57" s="595">
        <f>IFERROR([5]VALORACION!$I57,0)</f>
        <v>0</v>
      </c>
      <c r="Y57" s="595">
        <f>IFERROR([6]VALORACION!$I57,0)</f>
        <v>0</v>
      </c>
      <c r="Z57" s="444">
        <f>I57</f>
        <v>0</v>
      </c>
      <c r="AB57" s="455"/>
      <c r="AC57" s="455"/>
      <c r="AD57" s="455"/>
      <c r="AE57" s="455"/>
      <c r="AF57" s="455"/>
      <c r="AG57" s="455"/>
    </row>
    <row r="58" spans="1:33" ht="30.75" customHeight="1" x14ac:dyDescent="0.2">
      <c r="A58" s="434" t="s">
        <v>493</v>
      </c>
      <c r="B58" s="868" t="s">
        <v>473</v>
      </c>
      <c r="C58" s="869"/>
      <c r="D58" s="869"/>
      <c r="E58" s="870"/>
      <c r="F58" s="595">
        <v>12</v>
      </c>
      <c r="G58" s="640"/>
      <c r="H58" s="587"/>
      <c r="I58" s="595">
        <f>IF(H58&gt;0,AVERAGE(G58,H58),G58)</f>
        <v>0</v>
      </c>
      <c r="J58" s="833"/>
      <c r="K58" s="833"/>
      <c r="L58" s="833"/>
      <c r="M58" s="833"/>
      <c r="N58" s="809"/>
      <c r="O58" s="810"/>
      <c r="P58" s="810"/>
      <c r="Q58" s="811"/>
      <c r="R58" s="395"/>
      <c r="T58" s="576"/>
      <c r="U58" s="577"/>
      <c r="V58" s="577"/>
      <c r="W58" s="577"/>
      <c r="X58" s="577"/>
      <c r="Y58" s="577"/>
      <c r="Z58" s="578"/>
      <c r="AB58" s="455"/>
      <c r="AC58" s="455"/>
      <c r="AD58" s="455"/>
      <c r="AE58" s="455"/>
      <c r="AF58" s="455"/>
      <c r="AG58" s="455"/>
    </row>
    <row r="59" spans="1:33" ht="43.5" customHeight="1" x14ac:dyDescent="0.2">
      <c r="A59" s="434" t="s">
        <v>494</v>
      </c>
      <c r="B59" s="868" t="s">
        <v>474</v>
      </c>
      <c r="C59" s="869"/>
      <c r="D59" s="869"/>
      <c r="E59" s="870"/>
      <c r="F59" s="595">
        <v>10</v>
      </c>
      <c r="G59" s="640"/>
      <c r="H59" s="587"/>
      <c r="I59" s="595">
        <f t="shared" ref="I59:I77" si="2">IF(H59&gt;0,AVERAGE(G59,H59),G59)</f>
        <v>0</v>
      </c>
      <c r="J59" s="833"/>
      <c r="K59" s="833"/>
      <c r="L59" s="833"/>
      <c r="M59" s="833"/>
      <c r="N59" s="809"/>
      <c r="O59" s="810"/>
      <c r="P59" s="810"/>
      <c r="Q59" s="811"/>
      <c r="R59" s="395"/>
      <c r="T59" s="576"/>
      <c r="U59" s="577"/>
      <c r="V59" s="577"/>
      <c r="W59" s="577"/>
      <c r="X59" s="577"/>
      <c r="Y59" s="577"/>
      <c r="Z59" s="578"/>
      <c r="AB59" s="455"/>
      <c r="AC59" s="455"/>
      <c r="AD59" s="455"/>
      <c r="AE59" s="455"/>
      <c r="AF59" s="455"/>
      <c r="AG59" s="455"/>
    </row>
    <row r="60" spans="1:33" ht="12.75" customHeight="1" x14ac:dyDescent="0.2">
      <c r="A60" s="404" t="s">
        <v>495</v>
      </c>
      <c r="B60" s="868" t="s">
        <v>475</v>
      </c>
      <c r="C60" s="869"/>
      <c r="D60" s="869"/>
      <c r="E60" s="870"/>
      <c r="F60" s="595">
        <v>8</v>
      </c>
      <c r="G60" s="640"/>
      <c r="H60" s="587"/>
      <c r="I60" s="595">
        <f t="shared" si="2"/>
        <v>0</v>
      </c>
      <c r="J60" s="833"/>
      <c r="K60" s="833"/>
      <c r="L60" s="833"/>
      <c r="M60" s="833"/>
      <c r="N60" s="809"/>
      <c r="O60" s="810"/>
      <c r="P60" s="810"/>
      <c r="Q60" s="811"/>
      <c r="R60" s="395"/>
      <c r="T60" s="576"/>
      <c r="U60" s="577"/>
      <c r="V60" s="577"/>
      <c r="W60" s="577"/>
      <c r="X60" s="577"/>
      <c r="Y60" s="577"/>
      <c r="Z60" s="578"/>
      <c r="AB60" s="455"/>
      <c r="AC60" s="455"/>
      <c r="AD60" s="455"/>
      <c r="AE60" s="455"/>
      <c r="AF60" s="455"/>
      <c r="AG60" s="455"/>
    </row>
    <row r="61" spans="1:33" ht="12.75" customHeight="1" x14ac:dyDescent="0.2">
      <c r="A61" s="405" t="s">
        <v>496</v>
      </c>
      <c r="B61" s="871" t="s">
        <v>476</v>
      </c>
      <c r="C61" s="872"/>
      <c r="D61" s="872"/>
      <c r="E61" s="873"/>
      <c r="F61" s="590" t="s">
        <v>472</v>
      </c>
      <c r="G61" s="623">
        <f>G62</f>
        <v>0</v>
      </c>
      <c r="H61" s="623">
        <f>H62</f>
        <v>0</v>
      </c>
      <c r="I61" s="623">
        <f t="shared" si="2"/>
        <v>0</v>
      </c>
      <c r="J61" s="846"/>
      <c r="K61" s="846"/>
      <c r="L61" s="846"/>
      <c r="M61" s="846"/>
      <c r="N61" s="812"/>
      <c r="O61" s="813"/>
      <c r="P61" s="813"/>
      <c r="Q61" s="814"/>
      <c r="R61" s="406">
        <v>10</v>
      </c>
      <c r="T61" s="446">
        <f>IFERROR(AVERAGEIFS(U61:Z61,U61:Z61,"&gt;0"),0)</f>
        <v>0</v>
      </c>
      <c r="U61" s="406">
        <f>IFERROR([2]VALORACION!$I61,0)</f>
        <v>0</v>
      </c>
      <c r="V61" s="406">
        <f>IFERROR([3]VALORACION!$I61,0)</f>
        <v>0</v>
      </c>
      <c r="W61" s="406">
        <f>IFERROR([4]VALORACION!$I61,0)</f>
        <v>0</v>
      </c>
      <c r="X61" s="406">
        <f>IFERROR([5]VALORACION!$I61,0)</f>
        <v>0</v>
      </c>
      <c r="Y61" s="406">
        <f>IFERROR([6]VALORACION!$I61,0)</f>
        <v>0</v>
      </c>
      <c r="Z61" s="447">
        <f>I61</f>
        <v>0</v>
      </c>
      <c r="AB61" s="455"/>
      <c r="AC61" s="455"/>
      <c r="AD61" s="455"/>
      <c r="AE61" s="455"/>
      <c r="AF61" s="455"/>
      <c r="AG61" s="455"/>
    </row>
    <row r="62" spans="1:33" ht="25.5" customHeight="1" x14ac:dyDescent="0.2">
      <c r="A62" s="407" t="s">
        <v>503</v>
      </c>
      <c r="B62" s="874" t="s">
        <v>477</v>
      </c>
      <c r="C62" s="875"/>
      <c r="D62" s="875"/>
      <c r="E62" s="876"/>
      <c r="F62" s="406">
        <v>20</v>
      </c>
      <c r="G62" s="640"/>
      <c r="H62" s="587"/>
      <c r="I62" s="406">
        <f t="shared" si="2"/>
        <v>0</v>
      </c>
      <c r="J62" s="833"/>
      <c r="K62" s="833"/>
      <c r="L62" s="833"/>
      <c r="M62" s="833"/>
      <c r="N62" s="809"/>
      <c r="O62" s="810"/>
      <c r="P62" s="810"/>
      <c r="Q62" s="811"/>
      <c r="R62" s="395"/>
      <c r="T62" s="576"/>
      <c r="U62" s="577"/>
      <c r="V62" s="577"/>
      <c r="W62" s="577"/>
      <c r="X62" s="577"/>
      <c r="Y62" s="577"/>
      <c r="Z62" s="439"/>
      <c r="AB62" s="455"/>
      <c r="AC62" s="455"/>
      <c r="AD62" s="455"/>
      <c r="AE62" s="455"/>
      <c r="AF62" s="455"/>
      <c r="AG62" s="455"/>
    </row>
    <row r="63" spans="1:33" ht="12.75" customHeight="1" x14ac:dyDescent="0.2">
      <c r="A63" s="629" t="s">
        <v>497</v>
      </c>
      <c r="B63" s="877" t="s">
        <v>479</v>
      </c>
      <c r="C63" s="878"/>
      <c r="D63" s="878"/>
      <c r="E63" s="879"/>
      <c r="F63" s="591" t="s">
        <v>472</v>
      </c>
      <c r="G63" s="620">
        <f>G64</f>
        <v>0</v>
      </c>
      <c r="H63" s="620">
        <f>H64</f>
        <v>0</v>
      </c>
      <c r="I63" s="620">
        <f t="shared" si="2"/>
        <v>0</v>
      </c>
      <c r="J63" s="834"/>
      <c r="K63" s="834"/>
      <c r="L63" s="834"/>
      <c r="M63" s="834"/>
      <c r="N63" s="830"/>
      <c r="O63" s="831"/>
      <c r="P63" s="831"/>
      <c r="Q63" s="832"/>
      <c r="R63" s="631">
        <v>8</v>
      </c>
      <c r="T63" s="632">
        <f>IFERROR(AVERAGEIFS(U63:Z63,U63:Z63,"&gt;0"),0)</f>
        <v>0</v>
      </c>
      <c r="U63" s="631">
        <f>IFERROR([2]VALORACION!$I63,0)</f>
        <v>0</v>
      </c>
      <c r="V63" s="631">
        <f>IFERROR([3]VALORACION!$I63,0)</f>
        <v>0</v>
      </c>
      <c r="W63" s="631">
        <f>IFERROR([4]VALORACION!$I63,0)</f>
        <v>0</v>
      </c>
      <c r="X63" s="631">
        <f>IFERROR([5]VALORACION!$I63,0)</f>
        <v>0</v>
      </c>
      <c r="Y63" s="631">
        <f>IFERROR([6]VALORACION!$I63,0)</f>
        <v>0</v>
      </c>
      <c r="Z63" s="633">
        <f>I63</f>
        <v>0</v>
      </c>
      <c r="AB63" s="455"/>
      <c r="AC63" s="455"/>
      <c r="AD63" s="455"/>
      <c r="AE63" s="455"/>
      <c r="AF63" s="455"/>
      <c r="AG63" s="455"/>
    </row>
    <row r="64" spans="1:33" ht="25.5" customHeight="1" x14ac:dyDescent="0.2">
      <c r="A64" s="630" t="s">
        <v>502</v>
      </c>
      <c r="B64" s="960" t="s">
        <v>478</v>
      </c>
      <c r="C64" s="961"/>
      <c r="D64" s="961"/>
      <c r="E64" s="962"/>
      <c r="F64" s="631">
        <v>15</v>
      </c>
      <c r="G64" s="640"/>
      <c r="H64" s="587"/>
      <c r="I64" s="412">
        <f t="shared" si="2"/>
        <v>0</v>
      </c>
      <c r="J64" s="833"/>
      <c r="K64" s="833"/>
      <c r="L64" s="833"/>
      <c r="M64" s="833"/>
      <c r="N64" s="809"/>
      <c r="O64" s="810"/>
      <c r="P64" s="810"/>
      <c r="Q64" s="811"/>
      <c r="R64" s="395"/>
      <c r="T64" s="445"/>
      <c r="U64" s="577"/>
      <c r="V64" s="577"/>
      <c r="W64" s="577"/>
      <c r="X64" s="577"/>
      <c r="Y64" s="577"/>
      <c r="Z64" s="439"/>
      <c r="AB64" s="455"/>
      <c r="AC64" s="455"/>
      <c r="AD64" s="455"/>
      <c r="AE64" s="455"/>
      <c r="AF64" s="455"/>
      <c r="AG64" s="455"/>
    </row>
    <row r="65" spans="1:33" ht="12.75" customHeight="1" x14ac:dyDescent="0.2">
      <c r="A65" s="408" t="s">
        <v>498</v>
      </c>
      <c r="B65" s="963" t="s">
        <v>480</v>
      </c>
      <c r="C65" s="964"/>
      <c r="D65" s="964"/>
      <c r="E65" s="965"/>
      <c r="F65" s="409" t="s">
        <v>472</v>
      </c>
      <c r="G65" s="409">
        <f>SUM(G66:G67)</f>
        <v>0</v>
      </c>
      <c r="H65" s="409">
        <f>SUM(H66:H67)</f>
        <v>0</v>
      </c>
      <c r="I65" s="409">
        <f t="shared" si="2"/>
        <v>0</v>
      </c>
      <c r="J65" s="848"/>
      <c r="K65" s="848"/>
      <c r="L65" s="848"/>
      <c r="M65" s="848"/>
      <c r="N65" s="835"/>
      <c r="O65" s="836"/>
      <c r="P65" s="836"/>
      <c r="Q65" s="837"/>
      <c r="R65" s="410">
        <v>5</v>
      </c>
      <c r="T65" s="448">
        <f>IFERROR(AVERAGEIFS(U65:Z65,U65:Z65,"&gt;0"),0)</f>
        <v>0</v>
      </c>
      <c r="U65" s="410">
        <f>IFERROR([2]VALORACION!$I65,0)</f>
        <v>0</v>
      </c>
      <c r="V65" s="410">
        <f>IFERROR([3]VALORACION!$I65,0)</f>
        <v>0</v>
      </c>
      <c r="W65" s="410">
        <f>IFERROR([4]VALORACION!$I65,0)</f>
        <v>0</v>
      </c>
      <c r="X65" s="410">
        <f>IFERROR([5]VALORACION!$I65,0)</f>
        <v>0</v>
      </c>
      <c r="Y65" s="410">
        <f>IFERROR([6]VALORACION!$I65,0)</f>
        <v>0</v>
      </c>
      <c r="Z65" s="449">
        <f>I65</f>
        <v>0</v>
      </c>
      <c r="AB65" s="455"/>
      <c r="AC65" s="455"/>
      <c r="AD65" s="455"/>
      <c r="AE65" s="455"/>
      <c r="AF65" s="455"/>
      <c r="AG65" s="455"/>
    </row>
    <row r="66" spans="1:33" ht="38.25" customHeight="1" x14ac:dyDescent="0.2">
      <c r="A66" s="411" t="s">
        <v>499</v>
      </c>
      <c r="B66" s="895" t="s">
        <v>481</v>
      </c>
      <c r="C66" s="896"/>
      <c r="D66" s="896"/>
      <c r="E66" s="897"/>
      <c r="F66" s="410">
        <v>5</v>
      </c>
      <c r="G66" s="640"/>
      <c r="H66" s="587"/>
      <c r="I66" s="410">
        <f t="shared" si="2"/>
        <v>0</v>
      </c>
      <c r="J66" s="833"/>
      <c r="K66" s="833"/>
      <c r="L66" s="833"/>
      <c r="M66" s="833"/>
      <c r="N66" s="809"/>
      <c r="O66" s="810"/>
      <c r="P66" s="810"/>
      <c r="Q66" s="811"/>
      <c r="R66" s="395"/>
      <c r="T66" s="445"/>
      <c r="U66" s="577"/>
      <c r="V66" s="577"/>
      <c r="W66" s="577"/>
      <c r="X66" s="577"/>
      <c r="Y66" s="577"/>
      <c r="Z66" s="439"/>
      <c r="AB66" s="455"/>
      <c r="AC66" s="455"/>
      <c r="AD66" s="455"/>
      <c r="AE66" s="455"/>
      <c r="AF66" s="455"/>
      <c r="AG66" s="455"/>
    </row>
    <row r="67" spans="1:33" s="399" customFormat="1" ht="25.5" customHeight="1" x14ac:dyDescent="0.2">
      <c r="A67" s="411" t="s">
        <v>500</v>
      </c>
      <c r="B67" s="895" t="s">
        <v>482</v>
      </c>
      <c r="C67" s="896"/>
      <c r="D67" s="896"/>
      <c r="E67" s="897"/>
      <c r="F67" s="413">
        <v>5</v>
      </c>
      <c r="G67" s="641"/>
      <c r="H67" s="423"/>
      <c r="I67" s="410">
        <f t="shared" si="2"/>
        <v>0</v>
      </c>
      <c r="J67" s="847"/>
      <c r="K67" s="847"/>
      <c r="L67" s="847"/>
      <c r="M67" s="847"/>
      <c r="N67" s="838"/>
      <c r="O67" s="839"/>
      <c r="P67" s="839"/>
      <c r="Q67" s="840"/>
      <c r="R67" s="401"/>
      <c r="T67" s="445"/>
      <c r="U67" s="581"/>
      <c r="V67" s="581"/>
      <c r="W67" s="581"/>
      <c r="X67" s="581"/>
      <c r="Y67" s="581"/>
      <c r="Z67" s="439"/>
      <c r="AB67" s="455"/>
      <c r="AC67" s="455"/>
      <c r="AD67" s="455"/>
      <c r="AE67" s="455"/>
      <c r="AF67" s="455"/>
      <c r="AG67" s="456"/>
    </row>
    <row r="68" spans="1:33" ht="12.75" customHeight="1" x14ac:dyDescent="0.2">
      <c r="A68" s="554" t="s">
        <v>501</v>
      </c>
      <c r="B68" s="966" t="s">
        <v>483</v>
      </c>
      <c r="C68" s="967"/>
      <c r="D68" s="967"/>
      <c r="E68" s="968"/>
      <c r="F68" s="555" t="s">
        <v>472</v>
      </c>
      <c r="G68" s="555">
        <f>G69</f>
        <v>0</v>
      </c>
      <c r="H68" s="555">
        <f>H69</f>
        <v>0</v>
      </c>
      <c r="I68" s="555">
        <f t="shared" si="2"/>
        <v>0</v>
      </c>
      <c r="J68" s="779"/>
      <c r="K68" s="779"/>
      <c r="L68" s="779"/>
      <c r="M68" s="779"/>
      <c r="N68" s="815"/>
      <c r="O68" s="816"/>
      <c r="P68" s="816"/>
      <c r="Q68" s="817"/>
      <c r="R68" s="395"/>
      <c r="T68" s="579">
        <f>MAX(U68:Z68)</f>
        <v>0</v>
      </c>
      <c r="U68" s="613">
        <f>IFERROR([2]VALORACION!$I68,0)</f>
        <v>0</v>
      </c>
      <c r="V68" s="613">
        <f>IFERROR([3]VALORACION!$I68,0)</f>
        <v>0</v>
      </c>
      <c r="W68" s="613">
        <f>IFERROR([4]VALORACION!$I68,0)</f>
        <v>0</v>
      </c>
      <c r="X68" s="613">
        <f>IFERROR([5]VALORACION!$I68,0)</f>
        <v>0</v>
      </c>
      <c r="Y68" s="613">
        <f>IFERROR([6]VALORACION!$I68,0)</f>
        <v>0</v>
      </c>
      <c r="Z68" s="580">
        <f>I68</f>
        <v>0</v>
      </c>
      <c r="AB68" s="455"/>
      <c r="AC68" s="455"/>
      <c r="AD68" s="455"/>
      <c r="AE68" s="455"/>
      <c r="AF68" s="455"/>
      <c r="AG68" s="455"/>
    </row>
    <row r="69" spans="1:33" s="399" customFormat="1" ht="12.75" customHeight="1" x14ac:dyDescent="0.2">
      <c r="A69" s="556" t="s">
        <v>504</v>
      </c>
      <c r="B69" s="900" t="s">
        <v>483</v>
      </c>
      <c r="C69" s="901"/>
      <c r="D69" s="901"/>
      <c r="E69" s="902"/>
      <c r="F69" s="415">
        <v>5</v>
      </c>
      <c r="G69" s="415">
        <f>IF($T$89&gt;0,5,0)</f>
        <v>0</v>
      </c>
      <c r="H69" s="415"/>
      <c r="I69" s="613">
        <f t="shared" si="2"/>
        <v>0</v>
      </c>
      <c r="J69" s="849"/>
      <c r="K69" s="849"/>
      <c r="L69" s="849"/>
      <c r="M69" s="849"/>
      <c r="N69" s="841"/>
      <c r="O69" s="842"/>
      <c r="P69" s="842"/>
      <c r="Q69" s="843"/>
      <c r="R69" s="401"/>
      <c r="T69" s="579"/>
      <c r="U69" s="415"/>
      <c r="V69" s="415"/>
      <c r="W69" s="415"/>
      <c r="X69" s="415"/>
      <c r="Y69" s="415"/>
      <c r="Z69" s="580"/>
      <c r="AB69" s="455"/>
      <c r="AC69" s="455"/>
      <c r="AD69" s="455"/>
      <c r="AE69" s="455"/>
      <c r="AF69" s="455"/>
      <c r="AG69" s="456"/>
    </row>
    <row r="70" spans="1:33" ht="25.5" customHeight="1" x14ac:dyDescent="0.2">
      <c r="A70" s="554" t="s">
        <v>505</v>
      </c>
      <c r="B70" s="966" t="s">
        <v>484</v>
      </c>
      <c r="C70" s="967"/>
      <c r="D70" s="967"/>
      <c r="E70" s="968"/>
      <c r="F70" s="555" t="s">
        <v>472</v>
      </c>
      <c r="G70" s="555">
        <f>G71</f>
        <v>0</v>
      </c>
      <c r="H70" s="555">
        <f>H71</f>
        <v>0</v>
      </c>
      <c r="I70" s="555">
        <f t="shared" si="2"/>
        <v>0</v>
      </c>
      <c r="J70" s="815"/>
      <c r="K70" s="816"/>
      <c r="L70" s="816"/>
      <c r="M70" s="817"/>
      <c r="N70" s="815"/>
      <c r="O70" s="816"/>
      <c r="P70" s="816"/>
      <c r="Q70" s="817"/>
      <c r="R70" s="395"/>
      <c r="T70" s="579">
        <f>MAX(U70:Z70)</f>
        <v>0</v>
      </c>
      <c r="U70" s="613">
        <f>IFERROR([2]VALORACION!$I70,0)</f>
        <v>0</v>
      </c>
      <c r="V70" s="613">
        <f>IFERROR([3]VALORACION!$I70,0)</f>
        <v>0</v>
      </c>
      <c r="W70" s="613">
        <f>IFERROR([4]VALORACION!$I70,0)</f>
        <v>0</v>
      </c>
      <c r="X70" s="613">
        <f>IFERROR([5]VALORACION!$I70,0)</f>
        <v>0</v>
      </c>
      <c r="Y70" s="613">
        <f>IFERROR([6]VALORACION!$I70,0)</f>
        <v>0</v>
      </c>
      <c r="Z70" s="580">
        <f>I70</f>
        <v>0</v>
      </c>
      <c r="AB70" s="455"/>
      <c r="AC70" s="455"/>
      <c r="AD70" s="455"/>
      <c r="AE70" s="455"/>
      <c r="AF70" s="455"/>
      <c r="AG70" s="455"/>
    </row>
    <row r="71" spans="1:33" x14ac:dyDescent="0.2">
      <c r="A71" s="556" t="s">
        <v>506</v>
      </c>
      <c r="B71" s="900" t="s">
        <v>484</v>
      </c>
      <c r="C71" s="901"/>
      <c r="D71" s="901"/>
      <c r="E71" s="902"/>
      <c r="F71" s="415">
        <v>5</v>
      </c>
      <c r="G71" s="613">
        <f>IF($T$85&lt;0.25,0,IF($T$85&lt;0.5,1,IF($T$85&lt;0.75,3,5)))</f>
        <v>0</v>
      </c>
      <c r="H71" s="613">
        <f>G71</f>
        <v>0</v>
      </c>
      <c r="I71" s="613">
        <f t="shared" si="2"/>
        <v>0</v>
      </c>
      <c r="J71" s="779"/>
      <c r="K71" s="779"/>
      <c r="L71" s="779"/>
      <c r="M71" s="779"/>
      <c r="N71" s="815"/>
      <c r="O71" s="816"/>
      <c r="P71" s="816"/>
      <c r="Q71" s="817"/>
      <c r="R71" s="395"/>
      <c r="T71" s="579"/>
      <c r="U71" s="613"/>
      <c r="V71" s="613"/>
      <c r="W71" s="613"/>
      <c r="X71" s="613"/>
      <c r="Y71" s="613"/>
      <c r="Z71" s="580"/>
      <c r="AB71" s="455"/>
      <c r="AC71" s="455"/>
      <c r="AD71" s="455"/>
      <c r="AE71" s="455"/>
      <c r="AF71" s="455"/>
      <c r="AG71" s="455"/>
    </row>
    <row r="72" spans="1:33" ht="25.5" customHeight="1" x14ac:dyDescent="0.2">
      <c r="A72" s="554" t="s">
        <v>507</v>
      </c>
      <c r="B72" s="966" t="s">
        <v>485</v>
      </c>
      <c r="C72" s="967"/>
      <c r="D72" s="967"/>
      <c r="E72" s="968"/>
      <c r="F72" s="555" t="s">
        <v>472</v>
      </c>
      <c r="G72" s="555">
        <f>G73</f>
        <v>0</v>
      </c>
      <c r="H72" s="555">
        <f>H73</f>
        <v>0</v>
      </c>
      <c r="I72" s="555">
        <f t="shared" si="2"/>
        <v>0</v>
      </c>
      <c r="J72" s="779"/>
      <c r="K72" s="779"/>
      <c r="L72" s="779"/>
      <c r="M72" s="779"/>
      <c r="N72" s="815"/>
      <c r="O72" s="816"/>
      <c r="P72" s="816"/>
      <c r="Q72" s="817"/>
      <c r="R72" s="395"/>
      <c r="T72" s="579">
        <f>MAX(U72:Z72)</f>
        <v>0</v>
      </c>
      <c r="U72" s="613">
        <f>IFERROR([2]VALORACION!$I72,0)</f>
        <v>0</v>
      </c>
      <c r="V72" s="613">
        <f>IFERROR([3]VALORACION!$I72,0)</f>
        <v>0</v>
      </c>
      <c r="W72" s="613">
        <f>IFERROR([4]VALORACION!$I72,0)</f>
        <v>0</v>
      </c>
      <c r="X72" s="613">
        <f>IFERROR([5]VALORACION!$I72,0)</f>
        <v>0</v>
      </c>
      <c r="Y72" s="613">
        <f>IFERROR([6]VALORACION!$I72,0)</f>
        <v>0</v>
      </c>
      <c r="Z72" s="580">
        <f>I72</f>
        <v>0</v>
      </c>
      <c r="AB72" s="455"/>
      <c r="AC72" s="455"/>
      <c r="AD72" s="455"/>
      <c r="AE72" s="455"/>
      <c r="AF72" s="455"/>
      <c r="AG72" s="455"/>
    </row>
    <row r="73" spans="1:33" ht="12.75" customHeight="1" x14ac:dyDescent="0.2">
      <c r="A73" s="556" t="s">
        <v>508</v>
      </c>
      <c r="B73" s="900" t="s">
        <v>486</v>
      </c>
      <c r="C73" s="901"/>
      <c r="D73" s="901"/>
      <c r="E73" s="902"/>
      <c r="F73" s="415">
        <v>5</v>
      </c>
      <c r="G73" s="415">
        <f>IF(OR($G$35=X19,$G$35=X20,$G$35=X21,$G$35=X22,$G$35=X23,$G$35=X24,$G$35=X25,$G$35=X26,$G$35=X27,$G$35=X28,$G$35=X29),5,IF(AND(OR($G$31=X4,$G$31=X5,$G$31=X6,$G$31=X7,$G$31=X8,$G$31=X9),OR($G$33=X13,$G$33=X14,$G$33=X15)),5,IF(OR($G$31=X4,$G$31=X5,$G$31=X6,$G$31=X7,$G$31=X8,$G$31=X9),3,IF(OR($G$33=X13,$G$33=X14,$G$33=X15),2,0))))</f>
        <v>0</v>
      </c>
      <c r="H73" s="613">
        <f>G73</f>
        <v>0</v>
      </c>
      <c r="I73" s="613">
        <f t="shared" si="2"/>
        <v>0</v>
      </c>
      <c r="J73" s="779"/>
      <c r="K73" s="779"/>
      <c r="L73" s="779"/>
      <c r="M73" s="779"/>
      <c r="N73" s="815"/>
      <c r="O73" s="816"/>
      <c r="P73" s="816"/>
      <c r="Q73" s="817"/>
      <c r="R73" s="395"/>
      <c r="T73" s="579"/>
      <c r="U73" s="613"/>
      <c r="V73" s="613"/>
      <c r="W73" s="613"/>
      <c r="X73" s="613"/>
      <c r="Y73" s="613"/>
      <c r="Z73" s="580"/>
      <c r="AB73" s="455"/>
      <c r="AC73" s="455"/>
      <c r="AD73" s="455"/>
      <c r="AE73" s="455"/>
      <c r="AF73" s="455"/>
      <c r="AG73" s="455"/>
    </row>
    <row r="74" spans="1:33" ht="12.75" customHeight="1" x14ac:dyDescent="0.2">
      <c r="A74" s="554" t="s">
        <v>509</v>
      </c>
      <c r="B74" s="966" t="s">
        <v>487</v>
      </c>
      <c r="C74" s="967"/>
      <c r="D74" s="967"/>
      <c r="E74" s="968"/>
      <c r="F74" s="555" t="s">
        <v>472</v>
      </c>
      <c r="G74" s="555">
        <f>G75</f>
        <v>0</v>
      </c>
      <c r="H74" s="555">
        <f>H75</f>
        <v>0</v>
      </c>
      <c r="I74" s="555">
        <f>IF(H74&gt;0,AVERAGE(G74,H74),G74)</f>
        <v>0</v>
      </c>
      <c r="J74" s="779"/>
      <c r="K74" s="779"/>
      <c r="L74" s="779"/>
      <c r="M74" s="779"/>
      <c r="N74" s="815"/>
      <c r="O74" s="816"/>
      <c r="P74" s="816"/>
      <c r="Q74" s="817"/>
      <c r="R74" s="395"/>
      <c r="T74" s="579">
        <f>MAX(U74:Z74)</f>
        <v>0</v>
      </c>
      <c r="U74" s="613">
        <f>IFERROR([2]VALORACION!$I74,0)</f>
        <v>0</v>
      </c>
      <c r="V74" s="613">
        <f>IFERROR([3]VALORACION!$I74,0)</f>
        <v>0</v>
      </c>
      <c r="W74" s="613">
        <f>IFERROR([4]VALORACION!$I74,0)</f>
        <v>0</v>
      </c>
      <c r="X74" s="613">
        <f>IFERROR([5]VALORACION!$I74,0)</f>
        <v>0</v>
      </c>
      <c r="Y74" s="613">
        <f>IFERROR([6]VALORACION!$I74,0)</f>
        <v>0</v>
      </c>
      <c r="Z74" s="580">
        <f>I74</f>
        <v>0</v>
      </c>
      <c r="AB74" s="455"/>
      <c r="AC74" s="455"/>
      <c r="AD74" s="455"/>
      <c r="AE74" s="455"/>
      <c r="AF74" s="455"/>
      <c r="AG74" s="455"/>
    </row>
    <row r="75" spans="1:33" ht="12.75" customHeight="1" x14ac:dyDescent="0.2">
      <c r="A75" s="556" t="s">
        <v>510</v>
      </c>
      <c r="B75" s="969" t="s">
        <v>487</v>
      </c>
      <c r="C75" s="970"/>
      <c r="D75" s="970"/>
      <c r="E75" s="971"/>
      <c r="F75" s="415">
        <v>5</v>
      </c>
      <c r="G75" s="613">
        <f>IF(OR(G50=AA5,G52=AA10),5,IF(OR(G50=AA4,G52=AA9),3,0))</f>
        <v>0</v>
      </c>
      <c r="H75" s="613">
        <f>G75</f>
        <v>0</v>
      </c>
      <c r="I75" s="613">
        <f>IF(H75&gt;0,AVERAGE(G75,H75),G75)</f>
        <v>0</v>
      </c>
      <c r="J75" s="779"/>
      <c r="K75" s="779"/>
      <c r="L75" s="779"/>
      <c r="M75" s="779"/>
      <c r="N75" s="815"/>
      <c r="O75" s="816"/>
      <c r="P75" s="816"/>
      <c r="Q75" s="817"/>
      <c r="R75" s="395"/>
      <c r="T75" s="579"/>
      <c r="U75" s="613"/>
      <c r="V75" s="613"/>
      <c r="W75" s="613"/>
      <c r="X75" s="613"/>
      <c r="Y75" s="613"/>
      <c r="Z75" s="580"/>
      <c r="AB75" s="455"/>
      <c r="AC75" s="455"/>
      <c r="AD75" s="455"/>
      <c r="AE75" s="455"/>
      <c r="AF75" s="455"/>
      <c r="AG75" s="455"/>
    </row>
    <row r="76" spans="1:33" ht="46.5" customHeight="1" x14ac:dyDescent="0.2">
      <c r="A76" s="554" t="s">
        <v>511</v>
      </c>
      <c r="B76" s="966" t="s">
        <v>488</v>
      </c>
      <c r="C76" s="967"/>
      <c r="D76" s="967"/>
      <c r="E76" s="968"/>
      <c r="F76" s="555" t="s">
        <v>472</v>
      </c>
      <c r="G76" s="555">
        <f>G77</f>
        <v>0</v>
      </c>
      <c r="H76" s="555">
        <f>H77</f>
        <v>0</v>
      </c>
      <c r="I76" s="555">
        <f t="shared" si="2"/>
        <v>0</v>
      </c>
      <c r="J76" s="779"/>
      <c r="K76" s="779"/>
      <c r="L76" s="779"/>
      <c r="M76" s="779"/>
      <c r="N76" s="815"/>
      <c r="O76" s="816"/>
      <c r="P76" s="816"/>
      <c r="Q76" s="817"/>
      <c r="R76" s="395"/>
      <c r="T76" s="579">
        <f>MAX(U76:Z76)</f>
        <v>0</v>
      </c>
      <c r="U76" s="613">
        <f>IFERROR([2]VALORACION!$I76,0)</f>
        <v>0</v>
      </c>
      <c r="V76" s="613">
        <f>IFERROR([3]VALORACION!$I76,0)</f>
        <v>0</v>
      </c>
      <c r="W76" s="613">
        <f>IFERROR([4]VALORACION!$I76,0)</f>
        <v>0</v>
      </c>
      <c r="X76" s="613">
        <f>IFERROR([5]VALORACION!$I76,0)</f>
        <v>0</v>
      </c>
      <c r="Y76" s="613">
        <f>IFERROR([6]VALORACION!$I76,0)</f>
        <v>0</v>
      </c>
      <c r="Z76" s="580">
        <f>I76</f>
        <v>0</v>
      </c>
      <c r="AB76" s="455"/>
      <c r="AC76" s="455"/>
      <c r="AD76" s="455"/>
      <c r="AE76" s="455"/>
      <c r="AF76" s="455"/>
      <c r="AG76" s="455"/>
    </row>
    <row r="77" spans="1:33" ht="51" customHeight="1" thickBot="1" x14ac:dyDescent="0.25">
      <c r="A77" s="556" t="s">
        <v>512</v>
      </c>
      <c r="B77" s="900" t="s">
        <v>488</v>
      </c>
      <c r="C77" s="901"/>
      <c r="D77" s="901"/>
      <c r="E77" s="902"/>
      <c r="F77" s="415">
        <v>5</v>
      </c>
      <c r="G77" s="613">
        <f>IF(OR($D$7=$U$15,$D$7=$U$16),IF(AND($T$93&gt;0,$T$94&gt;0),5,0),0)</f>
        <v>0</v>
      </c>
      <c r="H77" s="613">
        <f>G77</f>
        <v>0</v>
      </c>
      <c r="I77" s="613">
        <f t="shared" si="2"/>
        <v>0</v>
      </c>
      <c r="J77" s="779"/>
      <c r="K77" s="779"/>
      <c r="L77" s="779"/>
      <c r="M77" s="779"/>
      <c r="N77" s="815"/>
      <c r="O77" s="816"/>
      <c r="P77" s="816"/>
      <c r="Q77" s="817"/>
      <c r="R77" s="395"/>
      <c r="T77" s="644"/>
      <c r="U77" s="645"/>
      <c r="V77" s="645"/>
      <c r="W77" s="645"/>
      <c r="X77" s="645"/>
      <c r="Y77" s="645"/>
      <c r="Z77" s="646"/>
      <c r="AB77" s="455"/>
      <c r="AC77" s="455"/>
      <c r="AD77" s="455"/>
      <c r="AE77" s="455"/>
      <c r="AF77" s="455"/>
      <c r="AG77" s="455"/>
    </row>
    <row r="78" spans="1:33" ht="13.5" thickBot="1" x14ac:dyDescent="0.25">
      <c r="AB78" s="455"/>
      <c r="AC78" s="455"/>
      <c r="AD78" s="455"/>
      <c r="AE78" s="455"/>
      <c r="AF78" s="455"/>
      <c r="AG78" s="455"/>
    </row>
    <row r="79" spans="1:33" ht="13.5" thickBot="1" x14ac:dyDescent="0.25">
      <c r="B79" s="642"/>
      <c r="C79" s="643" t="s">
        <v>536</v>
      </c>
      <c r="D79" s="607">
        <f>IF(D7=U14,I57+I61+I63+I65+I68+I70+I72+I74+I76,T79)</f>
        <v>0</v>
      </c>
      <c r="E79" s="607" t="s">
        <v>535</v>
      </c>
      <c r="F79" s="607" t="str">
        <f>IF(D7=U14,"Como proyecto individual, según columna I","Como proyecto de Colaboración o transferencia según columna T")</f>
        <v>Como proyecto de Colaboración o transferencia según columna T</v>
      </c>
      <c r="G79" s="607"/>
      <c r="H79" s="607"/>
      <c r="I79" s="607"/>
      <c r="J79" s="607"/>
      <c r="K79" s="637"/>
      <c r="T79" s="606">
        <f>T57+T61+T63+T65+T68+T70+T72+T74+T76</f>
        <v>0</v>
      </c>
      <c r="U79" s="607" t="s">
        <v>537</v>
      </c>
      <c r="V79" s="607"/>
      <c r="W79" s="607"/>
      <c r="X79" s="607"/>
      <c r="Y79" s="607"/>
      <c r="Z79" s="637"/>
    </row>
    <row r="80" spans="1:33" ht="13.5" thickBot="1" x14ac:dyDescent="0.25"/>
    <row r="81" spans="2:26" ht="13.5" thickBot="1" x14ac:dyDescent="0.25">
      <c r="B81" s="606" t="str">
        <f>IF(OR(I57&lt;R57,I61&lt;R61,I63&lt;R63,I65&lt;R65),"EL PROYECTO NO SUPERA ALGUNO DE LOS APARTADOS a), b), c) o d)",IF(D79&gt;=50,"EL PROYECTO ESTÁ APROBADO","EL PROYECTO NO ALCANZA LA PUNTUACIÓN MÍNIMA"))</f>
        <v>EL PROYECTO NO SUPERA ALGUNO DE LOS APARTADOS a), b), c) o d)</v>
      </c>
      <c r="C81" s="607"/>
      <c r="D81" s="607"/>
      <c r="E81" s="609"/>
      <c r="F81" s="609"/>
      <c r="G81" s="565"/>
      <c r="I81" s="421" t="str">
        <f>IF($D$7=$U$14,"LA CALIFICACIÓN ES DEFINITIVA POR SER PROYECTO INDIVIDUAL","PARA LA CALIFICACIÓN DEFINITIVA INTRODUCIR LOS SOCIOS A, B… D desde Datos/Editar vínculos")</f>
        <v>PARA LA CALIFICACIÓN DEFINITIVA INTRODUCIR LOS SOCIOS A, B… D desde Datos/Editar vínculos</v>
      </c>
      <c r="J81" s="422"/>
      <c r="K81" s="422"/>
      <c r="L81" s="422"/>
      <c r="M81" s="422"/>
      <c r="N81" s="422"/>
      <c r="O81" s="422"/>
      <c r="P81" s="424"/>
      <c r="T81" s="441" t="s">
        <v>577</v>
      </c>
    </row>
    <row r="82" spans="2:26" x14ac:dyDescent="0.2">
      <c r="G82" s="399"/>
      <c r="H82" s="399"/>
      <c r="T82" s="442" t="s">
        <v>534</v>
      </c>
      <c r="U82" s="583" t="s">
        <v>543</v>
      </c>
      <c r="V82" s="583" t="s">
        <v>544</v>
      </c>
      <c r="W82" s="583" t="s">
        <v>545</v>
      </c>
      <c r="X82" s="583" t="s">
        <v>546</v>
      </c>
      <c r="Y82" s="583" t="s">
        <v>547</v>
      </c>
      <c r="Z82" s="584" t="s">
        <v>533</v>
      </c>
    </row>
    <row r="83" spans="2:26" x14ac:dyDescent="0.2">
      <c r="B83" s="415" t="s">
        <v>517</v>
      </c>
      <c r="S83" s="402" t="s">
        <v>578</v>
      </c>
      <c r="T83" s="613">
        <f>SUMIFS(U83:Z83,U83:Z83,"&gt;0")</f>
        <v>0</v>
      </c>
      <c r="U83" s="613">
        <f>IFERROR([2]VALORACION!$B$255,0)</f>
        <v>0</v>
      </c>
      <c r="V83" s="613">
        <f>IFERROR([3]VALORACION!$B$255,0)</f>
        <v>0</v>
      </c>
      <c r="W83" s="613">
        <f>IFERROR([4]VALORACION!$B$255,0)</f>
        <v>0</v>
      </c>
      <c r="X83" s="613">
        <f>IFERROR([5]VALORACION!$B$255,0)</f>
        <v>0</v>
      </c>
      <c r="Y83" s="613">
        <f>IFERROR([6]VALORACION!$B$255,0)</f>
        <v>0</v>
      </c>
      <c r="Z83" s="613">
        <f>$B$255</f>
        <v>0</v>
      </c>
    </row>
    <row r="84" spans="2:26" x14ac:dyDescent="0.2">
      <c r="B84" s="722" t="s">
        <v>726</v>
      </c>
      <c r="C84" s="723"/>
      <c r="D84" s="723"/>
      <c r="E84" s="723"/>
      <c r="F84" s="723"/>
      <c r="G84" s="723"/>
      <c r="H84" s="723"/>
      <c r="I84" s="723"/>
      <c r="J84" s="723"/>
      <c r="K84" s="723"/>
      <c r="L84" s="723"/>
      <c r="M84" s="723"/>
      <c r="N84" s="723"/>
      <c r="O84" s="723"/>
      <c r="P84" s="723"/>
      <c r="Q84" s="724"/>
      <c r="S84" s="402" t="s">
        <v>579</v>
      </c>
      <c r="T84" s="613">
        <f>SUMIFS(U84:Z84,U84:Z84,"&gt;0")</f>
        <v>0</v>
      </c>
      <c r="U84" s="613">
        <f>IFERROR([2]VALORACION!$L$252,0)</f>
        <v>0</v>
      </c>
      <c r="V84" s="613">
        <f>IFERROR([3]VALORACION!$L$255,0)</f>
        <v>0</v>
      </c>
      <c r="W84" s="613">
        <f>IFERROR([4]VALORACION!$L$255,0)</f>
        <v>0</v>
      </c>
      <c r="X84" s="613">
        <f>IFERROR([5]VALORACION!$L$255,0)</f>
        <v>0</v>
      </c>
      <c r="Y84" s="613">
        <f>IFERROR([6]VALORACION!$L$255,0)</f>
        <v>0</v>
      </c>
      <c r="Z84" s="557">
        <f>$L$255</f>
        <v>0</v>
      </c>
    </row>
    <row r="85" spans="2:26" ht="30" customHeight="1" x14ac:dyDescent="0.2">
      <c r="B85" s="824"/>
      <c r="C85" s="825"/>
      <c r="D85" s="825"/>
      <c r="E85" s="825"/>
      <c r="F85" s="825"/>
      <c r="G85" s="825"/>
      <c r="H85" s="825"/>
      <c r="I85" s="825"/>
      <c r="J85" s="825"/>
      <c r="K85" s="825"/>
      <c r="L85" s="825"/>
      <c r="M85" s="825"/>
      <c r="N85" s="825"/>
      <c r="O85" s="825"/>
      <c r="P85" s="825"/>
      <c r="Q85" s="826"/>
      <c r="T85" s="558">
        <f t="shared" ref="T85:Y85" si="3">IFERROR(T83/T84,0)</f>
        <v>0</v>
      </c>
      <c r="U85" s="558">
        <f t="shared" si="3"/>
        <v>0</v>
      </c>
      <c r="V85" s="558">
        <f t="shared" si="3"/>
        <v>0</v>
      </c>
      <c r="W85" s="558">
        <f t="shared" si="3"/>
        <v>0</v>
      </c>
      <c r="X85" s="558">
        <f t="shared" si="3"/>
        <v>0</v>
      </c>
      <c r="Y85" s="558">
        <f t="shared" si="3"/>
        <v>0</v>
      </c>
      <c r="Z85" s="558">
        <f>IFERROR(Z83/Z84,0)</f>
        <v>0</v>
      </c>
    </row>
    <row r="86" spans="2:26" x14ac:dyDescent="0.2">
      <c r="B86" s="722" t="s">
        <v>727</v>
      </c>
      <c r="C86" s="723"/>
      <c r="D86" s="723"/>
      <c r="E86" s="723"/>
      <c r="F86" s="723"/>
      <c r="G86" s="723"/>
      <c r="H86" s="723"/>
      <c r="I86" s="723"/>
      <c r="J86" s="723"/>
      <c r="K86" s="723"/>
      <c r="L86" s="723"/>
      <c r="M86" s="723"/>
      <c r="N86" s="723"/>
      <c r="O86" s="723"/>
      <c r="P86" s="723"/>
      <c r="Q86" s="724"/>
    </row>
    <row r="87" spans="2:26" ht="30" customHeight="1" thickBot="1" x14ac:dyDescent="0.25">
      <c r="B87" s="827"/>
      <c r="C87" s="828"/>
      <c r="D87" s="828"/>
      <c r="E87" s="828"/>
      <c r="F87" s="828"/>
      <c r="G87" s="828"/>
      <c r="H87" s="828"/>
      <c r="I87" s="828"/>
      <c r="J87" s="828"/>
      <c r="K87" s="828"/>
      <c r="L87" s="828"/>
      <c r="M87" s="828"/>
      <c r="N87" s="828"/>
      <c r="O87" s="828"/>
      <c r="P87" s="828"/>
      <c r="Q87" s="829"/>
      <c r="T87" s="441" t="s">
        <v>580</v>
      </c>
    </row>
    <row r="88" spans="2:26" x14ac:dyDescent="0.2">
      <c r="T88" s="442" t="s">
        <v>534</v>
      </c>
      <c r="U88" s="583" t="s">
        <v>543</v>
      </c>
      <c r="V88" s="583" t="s">
        <v>544</v>
      </c>
      <c r="W88" s="583" t="s">
        <v>545</v>
      </c>
      <c r="X88" s="583" t="s">
        <v>546</v>
      </c>
      <c r="Y88" s="583" t="s">
        <v>547</v>
      </c>
      <c r="Z88" s="584" t="s">
        <v>533</v>
      </c>
    </row>
    <row r="89" spans="2:26" ht="12.75" customHeight="1" x14ac:dyDescent="0.2">
      <c r="B89" s="415" t="s">
        <v>518</v>
      </c>
      <c r="S89" s="402" t="s">
        <v>581</v>
      </c>
      <c r="T89" s="613">
        <f>SUMIFS(U89:Z89,U89:Z89,"&gt;0")</f>
        <v>0</v>
      </c>
      <c r="U89" s="613">
        <f>IFERROR([2]VALORACION!$G$107,0)</f>
        <v>0</v>
      </c>
      <c r="V89" s="613">
        <f>IFERROR([3]VALORACION!$G$107,0)</f>
        <v>0</v>
      </c>
      <c r="W89" s="613">
        <f>IFERROR([4]VALORACION!$G$107,0)</f>
        <v>0</v>
      </c>
      <c r="X89" s="613">
        <f>IFERROR([5]VALORACION!$G$107,0)</f>
        <v>0</v>
      </c>
      <c r="Y89" s="613">
        <f>IFERROR([6]VALORACION!$G$107,0)</f>
        <v>0</v>
      </c>
      <c r="Z89" s="613">
        <f>PERSONAL!$G$107</f>
        <v>0</v>
      </c>
    </row>
    <row r="90" spans="2:26" x14ac:dyDescent="0.2">
      <c r="B90" s="592" t="s">
        <v>514</v>
      </c>
      <c r="C90" s="593"/>
      <c r="D90" s="593"/>
      <c r="E90" s="593"/>
      <c r="F90" s="593"/>
      <c r="G90" s="593"/>
      <c r="H90" s="593"/>
      <c r="I90" s="593"/>
      <c r="J90" s="593"/>
      <c r="K90" s="593"/>
      <c r="L90" s="593"/>
      <c r="M90" s="593"/>
      <c r="N90" s="593"/>
      <c r="O90" s="593"/>
      <c r="P90" s="593"/>
      <c r="Q90" s="594"/>
    </row>
    <row r="91" spans="2:26" ht="13.5" thickBot="1" x14ac:dyDescent="0.25">
      <c r="B91" s="809"/>
      <c r="C91" s="810"/>
      <c r="D91" s="810"/>
      <c r="E91" s="810"/>
      <c r="F91" s="810"/>
      <c r="G91" s="810"/>
      <c r="H91" s="810"/>
      <c r="I91" s="810"/>
      <c r="J91" s="810"/>
      <c r="K91" s="810"/>
      <c r="L91" s="810"/>
      <c r="M91" s="810"/>
      <c r="N91" s="810"/>
      <c r="O91" s="810"/>
      <c r="P91" s="810"/>
      <c r="Q91" s="811"/>
      <c r="T91" s="585" t="s">
        <v>628</v>
      </c>
    </row>
    <row r="92" spans="2:26" x14ac:dyDescent="0.2">
      <c r="B92" s="722" t="s">
        <v>515</v>
      </c>
      <c r="C92" s="723"/>
      <c r="D92" s="723"/>
      <c r="E92" s="723"/>
      <c r="F92" s="723"/>
      <c r="G92" s="723"/>
      <c r="H92" s="723"/>
      <c r="I92" s="723"/>
      <c r="J92" s="723"/>
      <c r="K92" s="723"/>
      <c r="L92" s="723"/>
      <c r="M92" s="723"/>
      <c r="N92" s="723"/>
      <c r="O92" s="723"/>
      <c r="P92" s="723"/>
      <c r="Q92" s="724"/>
      <c r="T92" s="442" t="s">
        <v>534</v>
      </c>
      <c r="U92" s="583" t="s">
        <v>543</v>
      </c>
      <c r="V92" s="583" t="s">
        <v>544</v>
      </c>
      <c r="W92" s="583" t="s">
        <v>545</v>
      </c>
      <c r="X92" s="583" t="s">
        <v>546</v>
      </c>
      <c r="Y92" s="583" t="s">
        <v>547</v>
      </c>
      <c r="Z92" s="584" t="s">
        <v>533</v>
      </c>
    </row>
    <row r="93" spans="2:26" x14ac:dyDescent="0.2">
      <c r="B93" s="809"/>
      <c r="C93" s="810"/>
      <c r="D93" s="810"/>
      <c r="E93" s="810"/>
      <c r="F93" s="810"/>
      <c r="G93" s="810"/>
      <c r="H93" s="905"/>
      <c r="I93" s="905"/>
      <c r="J93" s="905"/>
      <c r="K93" s="905"/>
      <c r="L93" s="905"/>
      <c r="M93" s="905"/>
      <c r="N93" s="905"/>
      <c r="O93" s="905"/>
      <c r="P93" s="905"/>
      <c r="Q93" s="906"/>
      <c r="S93" s="402" t="s">
        <v>584</v>
      </c>
      <c r="T93" s="613">
        <f>SUMIFS(U93:Z93,U93:Z93,"&gt;0")</f>
        <v>0</v>
      </c>
      <c r="U93" s="613">
        <f>IFERROR(MATCH([2]VALORACION!$D$17,$X$4:$X$9,0),0)</f>
        <v>0</v>
      </c>
      <c r="V93" s="613">
        <f>IFERROR(MATCH([3]VALORACION!$D$17,$X$4:$X$9,0),0)</f>
        <v>0</v>
      </c>
      <c r="W93" s="613">
        <f>IFERROR(MATCH([4]VALORACION!$D$17,$X$4:$X$9,0),0)</f>
        <v>0</v>
      </c>
      <c r="X93" s="613">
        <f>IFERROR(MATCH([5]VALORACION!$D$17,$X$4:$X$9,0),0)</f>
        <v>0</v>
      </c>
      <c r="Y93" s="613">
        <f>IFERROR(MATCH([6]VALORACION!$D$17,$X$4:$X$9,0),0)</f>
        <v>0</v>
      </c>
      <c r="Z93" s="613">
        <f>IFERROR(MATCH($D$17,$X$4:$X$9,0),0)</f>
        <v>0</v>
      </c>
    </row>
    <row r="94" spans="2:26" x14ac:dyDescent="0.2">
      <c r="H94" s="681" t="s">
        <v>543</v>
      </c>
      <c r="I94" s="682"/>
      <c r="J94" s="681" t="s">
        <v>544</v>
      </c>
      <c r="K94" s="682"/>
      <c r="L94" s="681" t="s">
        <v>545</v>
      </c>
      <c r="M94" s="682"/>
      <c r="N94" s="681" t="s">
        <v>546</v>
      </c>
      <c r="O94" s="682"/>
      <c r="P94" s="681" t="s">
        <v>547</v>
      </c>
      <c r="Q94" s="682"/>
      <c r="S94" s="402" t="s">
        <v>585</v>
      </c>
      <c r="T94" s="613">
        <f>SUMIFS(U94:Z94,U94:Z94,"&gt;0")</f>
        <v>0</v>
      </c>
      <c r="U94" s="613">
        <f>IFERROR(MATCH([2]VALORACION!$D$18,$X$13:$X$15,0),0)</f>
        <v>0</v>
      </c>
      <c r="V94" s="613">
        <f>IFERROR(MATCH([3]VALORACION!$D$18,$X$13:$X$15,0),0)</f>
        <v>0</v>
      </c>
      <c r="W94" s="613">
        <f>IFERROR(MATCH([4]VALORACION!$D$18,$X$13:$X$15,0),0)</f>
        <v>0</v>
      </c>
      <c r="X94" s="613">
        <f>IFERROR(MATCH([5]VALORACION!$D$18,$X$13:$X$15,0),0)</f>
        <v>0</v>
      </c>
      <c r="Y94" s="613">
        <f>IFERROR(MATCH([6]VALORACION!$D$18,$X$13:$X$15,0),0)</f>
        <v>0</v>
      </c>
      <c r="Z94" s="613">
        <f>IFERROR(MATCH($D$18,$X$13:$X$15,0),0)</f>
        <v>0</v>
      </c>
    </row>
    <row r="95" spans="2:26" x14ac:dyDescent="0.2">
      <c r="B95" s="907" t="s">
        <v>407</v>
      </c>
      <c r="C95" s="907"/>
      <c r="D95" s="907"/>
      <c r="E95" s="909"/>
      <c r="F95" s="909"/>
      <c r="G95" s="909"/>
      <c r="H95" s="683" t="str">
        <f>IFERROR([2]VALORACION!$E$95,"")</f>
        <v/>
      </c>
      <c r="I95" s="683"/>
      <c r="J95" s="683" t="str">
        <f>IFERROR([3]VALORACION!$E$95,"")</f>
        <v/>
      </c>
      <c r="K95" s="683"/>
      <c r="L95" s="683" t="str">
        <f>IFERROR([4]VALORACION!$E$95,"")</f>
        <v/>
      </c>
      <c r="M95" s="683"/>
      <c r="N95" s="683" t="str">
        <f>IFERROR([5]VALORACION!$E$95,"")</f>
        <v/>
      </c>
      <c r="O95" s="683"/>
      <c r="P95" s="683" t="str">
        <f>IFERROR([6]VALORACION!$E$95,"")</f>
        <v/>
      </c>
      <c r="Q95" s="683"/>
    </row>
    <row r="96" spans="2:26" ht="30" customHeight="1" thickBot="1" x14ac:dyDescent="0.25">
      <c r="B96" s="972" t="str">
        <f>IFERROR(VLOOKUP(E95,U33:V45,2,FALSE),"")</f>
        <v/>
      </c>
      <c r="C96" s="973"/>
      <c r="D96" s="973"/>
      <c r="E96" s="973"/>
      <c r="F96" s="974"/>
      <c r="G96" s="974"/>
      <c r="H96" s="974"/>
      <c r="I96" s="974"/>
      <c r="J96" s="974"/>
      <c r="K96" s="973"/>
      <c r="L96" s="973"/>
      <c r="M96" s="973"/>
      <c r="N96" s="973"/>
      <c r="O96" s="973"/>
      <c r="P96" s="973"/>
      <c r="Q96" s="975"/>
      <c r="T96" s="441" t="s">
        <v>592</v>
      </c>
    </row>
    <row r="97" spans="1:26" ht="13.5" thickBot="1" x14ac:dyDescent="0.25">
      <c r="F97" s="676" t="s">
        <v>543</v>
      </c>
      <c r="G97" s="676" t="s">
        <v>544</v>
      </c>
      <c r="H97" s="676" t="s">
        <v>545</v>
      </c>
      <c r="I97" s="676" t="s">
        <v>546</v>
      </c>
      <c r="J97" s="676" t="s">
        <v>547</v>
      </c>
      <c r="T97" s="442" t="s">
        <v>534</v>
      </c>
      <c r="U97" s="583" t="s">
        <v>543</v>
      </c>
      <c r="V97" s="583" t="s">
        <v>544</v>
      </c>
      <c r="W97" s="583" t="s">
        <v>545</v>
      </c>
      <c r="X97" s="583" t="s">
        <v>546</v>
      </c>
      <c r="Y97" s="583" t="s">
        <v>547</v>
      </c>
      <c r="Z97" s="584" t="s">
        <v>533</v>
      </c>
    </row>
    <row r="98" spans="1:26" ht="13.5" thickBot="1" x14ac:dyDescent="0.25">
      <c r="B98" s="976" t="s">
        <v>612</v>
      </c>
      <c r="C98" s="977"/>
      <c r="D98" s="647"/>
      <c r="F98" s="621" t="str">
        <f>IFERROR([2]VALORACION!$D$98,"")</f>
        <v/>
      </c>
      <c r="G98" s="621" t="str">
        <f>IFERROR([3]VALORACION!$D$98,"")</f>
        <v/>
      </c>
      <c r="H98" s="621" t="str">
        <f>IFERROR([4]VALORACION!$D$98,"")</f>
        <v/>
      </c>
      <c r="I98" s="621" t="str">
        <f>IFERROR([5]VALORACION!$D$98,"")</f>
        <v/>
      </c>
      <c r="J98" s="621" t="str">
        <f>IFERROR([6]VALORACION!$D$98,"")</f>
        <v/>
      </c>
      <c r="S98" s="402" t="s">
        <v>593</v>
      </c>
      <c r="T98" s="613">
        <f>SUMIFS(U98:Z98,U98:Z98,"&gt;0")</f>
        <v>0</v>
      </c>
      <c r="U98" s="613">
        <f>IFERROR([2]VALORACION!$I$406,0)</f>
        <v>0</v>
      </c>
      <c r="V98" s="613">
        <f>IFERROR([3]VALORACION!$I$406,0)</f>
        <v>0</v>
      </c>
      <c r="W98" s="613">
        <f>IFERROR([4]VALORACION!$I$406,0)</f>
        <v>0</v>
      </c>
      <c r="X98" s="613">
        <f>IFERROR([5]VALORACION!$I$406,0)</f>
        <v>0</v>
      </c>
      <c r="Y98" s="613">
        <f>IFERROR([6]VALORACION!$I$406,0)</f>
        <v>0</v>
      </c>
      <c r="Z98" s="613">
        <f>$I$406</f>
        <v>0</v>
      </c>
    </row>
    <row r="99" spans="1:26" ht="13.5" thickBot="1" x14ac:dyDescent="0.25">
      <c r="B99" s="976" t="s">
        <v>613</v>
      </c>
      <c r="C99" s="977"/>
      <c r="D99" s="647"/>
      <c r="E99" s="399"/>
      <c r="F99" s="621" t="str">
        <f>IFERROR([2]VALORACION!$D$99,"")</f>
        <v/>
      </c>
      <c r="G99" s="621" t="str">
        <f>IFERROR([3]VALORACION!$D$99,"")</f>
        <v/>
      </c>
      <c r="H99" s="621" t="str">
        <f>IFERROR([4]VALORACION!$D$99,"")</f>
        <v/>
      </c>
      <c r="I99" s="621" t="str">
        <f>IFERROR([5]VALORACION!$D$99,"")</f>
        <v/>
      </c>
      <c r="J99" s="621" t="str">
        <f>IFERROR([6]VALORACION!$D$99,"")</f>
        <v/>
      </c>
    </row>
    <row r="101" spans="1:26" x14ac:dyDescent="0.2">
      <c r="A101" s="427"/>
      <c r="B101" s="428" t="s">
        <v>525</v>
      </c>
      <c r="C101" s="427"/>
      <c r="D101" s="427"/>
      <c r="E101" s="427"/>
      <c r="F101" s="427"/>
      <c r="G101" s="427"/>
      <c r="H101" s="427"/>
      <c r="I101" s="426"/>
      <c r="J101" s="426"/>
      <c r="K101" s="426"/>
      <c r="L101" s="426"/>
      <c r="M101" s="426"/>
      <c r="N101" s="426"/>
      <c r="O101" s="426"/>
      <c r="P101" s="426"/>
      <c r="Q101" s="426"/>
      <c r="R101" s="426"/>
      <c r="S101" s="426"/>
      <c r="T101" s="426"/>
      <c r="U101" s="426"/>
      <c r="V101" s="426"/>
      <c r="W101" s="426"/>
      <c r="X101" s="426"/>
      <c r="Y101" s="426"/>
      <c r="Z101" s="426"/>
    </row>
    <row r="102" spans="1:26" s="461" customFormat="1" x14ac:dyDescent="0.2">
      <c r="A102" s="459"/>
      <c r="B102" s="459"/>
      <c r="C102" s="459"/>
      <c r="D102" s="459"/>
      <c r="E102" s="459"/>
      <c r="F102" s="459"/>
      <c r="G102" s="459"/>
      <c r="H102" s="459"/>
      <c r="I102" s="460"/>
      <c r="J102" s="459"/>
      <c r="K102" s="459"/>
      <c r="L102" s="460"/>
      <c r="M102" s="460"/>
      <c r="N102" s="460"/>
    </row>
    <row r="103" spans="1:26" s="461" customFormat="1" x14ac:dyDescent="0.2">
      <c r="A103" s="462" t="s">
        <v>549</v>
      </c>
      <c r="B103" s="463"/>
      <c r="C103" s="463"/>
      <c r="D103" s="463"/>
      <c r="E103" s="465"/>
      <c r="F103" s="465"/>
      <c r="G103" s="465"/>
      <c r="H103" s="465"/>
      <c r="I103" s="466"/>
      <c r="J103" s="465"/>
      <c r="K103" s="465"/>
      <c r="L103" s="466"/>
      <c r="M103" s="466"/>
      <c r="N103" s="466"/>
    </row>
    <row r="104" spans="1:26" s="461" customFormat="1" x14ac:dyDescent="0.2">
      <c r="A104" s="464" t="s">
        <v>550</v>
      </c>
      <c r="B104" s="465"/>
      <c r="C104" s="465"/>
      <c r="D104" s="465"/>
      <c r="E104" s="465"/>
      <c r="F104" s="465"/>
      <c r="G104" s="465"/>
      <c r="H104" s="465"/>
      <c r="I104" s="466"/>
      <c r="J104" s="465"/>
      <c r="K104" s="465"/>
      <c r="L104" s="466"/>
      <c r="M104" s="466"/>
      <c r="N104" s="466"/>
    </row>
    <row r="105" spans="1:26" s="461" customFormat="1" ht="13.5" thickBot="1" x14ac:dyDescent="0.25">
      <c r="A105" s="464"/>
      <c r="B105" s="465"/>
      <c r="C105" s="465"/>
      <c r="D105" s="465"/>
      <c r="E105" s="465"/>
      <c r="F105" s="467" t="s">
        <v>551</v>
      </c>
      <c r="G105" s="465"/>
      <c r="H105" s="465"/>
      <c r="I105" s="466"/>
      <c r="J105" s="465"/>
      <c r="K105" s="465"/>
      <c r="L105" s="466"/>
      <c r="M105" s="466"/>
      <c r="N105" s="466"/>
    </row>
    <row r="106" spans="1:26" s="461" customFormat="1" x14ac:dyDescent="0.2">
      <c r="A106" s="981"/>
      <c r="B106" s="982"/>
      <c r="C106" s="982"/>
      <c r="D106" s="982"/>
      <c r="E106" s="982"/>
      <c r="F106" s="982"/>
      <c r="G106" s="982"/>
      <c r="H106" s="982"/>
      <c r="I106" s="982"/>
      <c r="J106" s="982"/>
      <c r="K106" s="982"/>
      <c r="L106" s="982"/>
      <c r="M106" s="982"/>
      <c r="N106" s="983"/>
    </row>
    <row r="107" spans="1:26" s="461" customFormat="1" x14ac:dyDescent="0.2">
      <c r="A107" s="984"/>
      <c r="B107" s="985"/>
      <c r="C107" s="985"/>
      <c r="D107" s="985"/>
      <c r="E107" s="985"/>
      <c r="F107" s="985"/>
      <c r="G107" s="985"/>
      <c r="H107" s="985"/>
      <c r="I107" s="985"/>
      <c r="J107" s="985"/>
      <c r="K107" s="985"/>
      <c r="L107" s="985"/>
      <c r="M107" s="985"/>
      <c r="N107" s="986"/>
    </row>
    <row r="108" spans="1:26" s="461" customFormat="1" x14ac:dyDescent="0.2">
      <c r="A108" s="984"/>
      <c r="B108" s="985"/>
      <c r="C108" s="985"/>
      <c r="D108" s="985"/>
      <c r="E108" s="985"/>
      <c r="F108" s="985"/>
      <c r="G108" s="985"/>
      <c r="H108" s="985"/>
      <c r="I108" s="985"/>
      <c r="J108" s="985"/>
      <c r="K108" s="985"/>
      <c r="L108" s="985"/>
      <c r="M108" s="985"/>
      <c r="N108" s="986"/>
    </row>
    <row r="109" spans="1:26" s="461" customFormat="1" x14ac:dyDescent="0.2">
      <c r="A109" s="984"/>
      <c r="B109" s="985"/>
      <c r="C109" s="985"/>
      <c r="D109" s="985"/>
      <c r="E109" s="985"/>
      <c r="F109" s="985"/>
      <c r="G109" s="985"/>
      <c r="H109" s="985"/>
      <c r="I109" s="985"/>
      <c r="J109" s="985"/>
      <c r="K109" s="985"/>
      <c r="L109" s="985"/>
      <c r="M109" s="985"/>
      <c r="N109" s="986"/>
    </row>
    <row r="110" spans="1:26" s="461" customFormat="1" x14ac:dyDescent="0.2">
      <c r="A110" s="984"/>
      <c r="B110" s="985"/>
      <c r="C110" s="985"/>
      <c r="D110" s="985"/>
      <c r="E110" s="985"/>
      <c r="F110" s="985"/>
      <c r="G110" s="985"/>
      <c r="H110" s="985"/>
      <c r="I110" s="985"/>
      <c r="J110" s="985"/>
      <c r="K110" s="985"/>
      <c r="L110" s="985"/>
      <c r="M110" s="985"/>
      <c r="N110" s="986"/>
    </row>
    <row r="111" spans="1:26" s="461" customFormat="1" x14ac:dyDescent="0.2">
      <c r="A111" s="984"/>
      <c r="B111" s="985"/>
      <c r="C111" s="985"/>
      <c r="D111" s="985"/>
      <c r="E111" s="985"/>
      <c r="F111" s="985"/>
      <c r="G111" s="985"/>
      <c r="H111" s="985"/>
      <c r="I111" s="985"/>
      <c r="J111" s="985"/>
      <c r="K111" s="985"/>
      <c r="L111" s="985"/>
      <c r="M111" s="985"/>
      <c r="N111" s="986"/>
    </row>
    <row r="112" spans="1:26" s="461" customFormat="1" x14ac:dyDescent="0.2">
      <c r="A112" s="984"/>
      <c r="B112" s="985"/>
      <c r="C112" s="985"/>
      <c r="D112" s="985"/>
      <c r="E112" s="985"/>
      <c r="F112" s="985"/>
      <c r="G112" s="985"/>
      <c r="H112" s="985"/>
      <c r="I112" s="985"/>
      <c r="J112" s="985"/>
      <c r="K112" s="985"/>
      <c r="L112" s="985"/>
      <c r="M112" s="985"/>
      <c r="N112" s="986"/>
    </row>
    <row r="113" spans="1:21" s="461" customFormat="1" x14ac:dyDescent="0.2">
      <c r="A113" s="984"/>
      <c r="B113" s="985"/>
      <c r="C113" s="985"/>
      <c r="D113" s="985"/>
      <c r="E113" s="985"/>
      <c r="F113" s="985"/>
      <c r="G113" s="985"/>
      <c r="H113" s="985"/>
      <c r="I113" s="985"/>
      <c r="J113" s="985"/>
      <c r="K113" s="985"/>
      <c r="L113" s="985"/>
      <c r="M113" s="985"/>
      <c r="N113" s="986"/>
    </row>
    <row r="114" spans="1:21" s="461" customFormat="1" x14ac:dyDescent="0.2">
      <c r="A114" s="984"/>
      <c r="B114" s="985"/>
      <c r="C114" s="985"/>
      <c r="D114" s="985"/>
      <c r="E114" s="985"/>
      <c r="F114" s="985"/>
      <c r="G114" s="985"/>
      <c r="H114" s="985"/>
      <c r="I114" s="985"/>
      <c r="J114" s="985"/>
      <c r="K114" s="985"/>
      <c r="L114" s="985"/>
      <c r="M114" s="985"/>
      <c r="N114" s="986"/>
    </row>
    <row r="115" spans="1:21" s="461" customFormat="1" ht="13.5" thickBot="1" x14ac:dyDescent="0.25">
      <c r="A115" s="987"/>
      <c r="B115" s="988"/>
      <c r="C115" s="988"/>
      <c r="D115" s="988"/>
      <c r="E115" s="988"/>
      <c r="F115" s="988"/>
      <c r="G115" s="988"/>
      <c r="H115" s="988"/>
      <c r="I115" s="988"/>
      <c r="J115" s="988"/>
      <c r="K115" s="988"/>
      <c r="L115" s="988"/>
      <c r="M115" s="988"/>
      <c r="N115" s="989"/>
    </row>
    <row r="116" spans="1:21" ht="13.5" thickBot="1" x14ac:dyDescent="0.25"/>
    <row r="117" spans="1:21" ht="36" customHeight="1" thickBot="1" x14ac:dyDescent="0.25">
      <c r="A117" s="990" t="str">
        <f>ACTIVOS!A9</f>
        <v>Denominación equipo (1)</v>
      </c>
      <c r="B117" s="991"/>
      <c r="C117" s="992"/>
      <c r="D117" s="996" t="str">
        <f>ACTIVOS!B9</f>
        <v>Importe de adquisición</v>
      </c>
      <c r="E117" s="934" t="str">
        <f>ACTIVOS!C9</f>
        <v>Fecha inicio amortización (2)</v>
      </c>
      <c r="F117" s="936" t="str">
        <f>ACTIVOS!D9</f>
        <v>Cuota anual amortización (3)</v>
      </c>
      <c r="G117" s="938" t="str">
        <f>ACTIVOS!E9</f>
        <v>Anualidad 1</v>
      </c>
      <c r="H117" s="939"/>
      <c r="I117" s="939"/>
      <c r="J117" s="940"/>
      <c r="K117" s="938" t="str">
        <f>ACTIVOS!H9</f>
        <v>Anualidad 2</v>
      </c>
      <c r="L117" s="939"/>
      <c r="M117" s="939"/>
      <c r="N117" s="980"/>
    </row>
    <row r="118" spans="1:21" ht="23.25" thickBot="1" x14ac:dyDescent="0.25">
      <c r="A118" s="993"/>
      <c r="B118" s="994"/>
      <c r="C118" s="995"/>
      <c r="D118" s="997"/>
      <c r="E118" s="935"/>
      <c r="F118" s="937"/>
      <c r="G118" s="48" t="str">
        <f>ACTIVOS!E12</f>
        <v>% Dedicación (4)</v>
      </c>
      <c r="H118" s="49" t="str">
        <f>ACTIVOS!F12</f>
        <v xml:space="preserve"> Meses Imputables (5)</v>
      </c>
      <c r="I118" s="495" t="str">
        <f>ACTIVOS!G12</f>
        <v>Importe (6)</v>
      </c>
      <c r="J118" s="496" t="s">
        <v>553</v>
      </c>
      <c r="K118" s="48" t="str">
        <f>ACTIVOS!H12</f>
        <v>% Dedicación (4)</v>
      </c>
      <c r="L118" s="49" t="str">
        <f>ACTIVOS!I12</f>
        <v xml:space="preserve"> Meses Imputables (5)</v>
      </c>
      <c r="M118" s="497" t="str">
        <f>ACTIVOS!J12</f>
        <v>Importe (6)</v>
      </c>
      <c r="N118" s="575" t="s">
        <v>553</v>
      </c>
      <c r="O118" s="978" t="s">
        <v>624</v>
      </c>
      <c r="P118" s="979"/>
      <c r="Q118" s="979"/>
      <c r="R118" s="979"/>
      <c r="S118" s="979"/>
      <c r="T118" s="979"/>
      <c r="U118" s="979"/>
    </row>
    <row r="119" spans="1:21" x14ac:dyDescent="0.2">
      <c r="A119" s="819">
        <f>ACTIVOS!A13</f>
        <v>0</v>
      </c>
      <c r="B119" s="819"/>
      <c r="C119" s="819"/>
      <c r="D119" s="648">
        <f>ACTIVOS!B13</f>
        <v>0</v>
      </c>
      <c r="E119" s="649">
        <f>ACTIVOS!C13</f>
        <v>0</v>
      </c>
      <c r="F119" s="648">
        <f>ACTIVOS!D13</f>
        <v>0</v>
      </c>
      <c r="G119" s="650">
        <f>ACTIVOS!E13</f>
        <v>0</v>
      </c>
      <c r="H119" s="651">
        <f>ACTIVOS!F13</f>
        <v>0</v>
      </c>
      <c r="I119" s="549">
        <f>F119*G119*H119/12</f>
        <v>0</v>
      </c>
      <c r="J119" s="544">
        <f>ACTIVOS!G13</f>
        <v>0</v>
      </c>
      <c r="K119" s="659">
        <f>ACTIVOS!H13</f>
        <v>0</v>
      </c>
      <c r="L119" s="651">
        <f>ACTIVOS!I13</f>
        <v>0</v>
      </c>
      <c r="M119" s="543">
        <f t="shared" ref="M119:M143" si="4">F119*K119*L119/12</f>
        <v>0</v>
      </c>
      <c r="N119" s="544">
        <f>ACTIVOS!J13</f>
        <v>0</v>
      </c>
      <c r="O119" s="957"/>
      <c r="P119" s="955"/>
      <c r="Q119" s="955"/>
      <c r="R119" s="955"/>
      <c r="S119" s="955"/>
      <c r="T119" s="955"/>
      <c r="U119" s="955"/>
    </row>
    <row r="120" spans="1:21" x14ac:dyDescent="0.2">
      <c r="A120" s="700">
        <f>ACTIVOS!A14</f>
        <v>0</v>
      </c>
      <c r="B120" s="700"/>
      <c r="C120" s="700"/>
      <c r="D120" s="639">
        <f>ACTIVOS!B14</f>
        <v>0</v>
      </c>
      <c r="E120" s="652">
        <f>ACTIVOS!C14</f>
        <v>0</v>
      </c>
      <c r="F120" s="639">
        <f>ACTIVOS!D14</f>
        <v>0</v>
      </c>
      <c r="G120" s="653">
        <f>ACTIVOS!E14</f>
        <v>0</v>
      </c>
      <c r="H120" s="654">
        <f>ACTIVOS!F14</f>
        <v>0</v>
      </c>
      <c r="I120" s="526">
        <f t="shared" ref="I120:I143" si="5">F120*G120*H120/12</f>
        <v>0</v>
      </c>
      <c r="J120" s="524">
        <f>ACTIVOS!G14</f>
        <v>0</v>
      </c>
      <c r="K120" s="660">
        <f>ACTIVOS!H14</f>
        <v>0</v>
      </c>
      <c r="L120" s="654">
        <f>ACTIVOS!I14</f>
        <v>0</v>
      </c>
      <c r="M120" s="545">
        <f t="shared" si="4"/>
        <v>0</v>
      </c>
      <c r="N120" s="524">
        <f>ACTIVOS!J14</f>
        <v>0</v>
      </c>
      <c r="O120" s="957"/>
      <c r="P120" s="955"/>
      <c r="Q120" s="955"/>
      <c r="R120" s="955"/>
      <c r="S120" s="955"/>
      <c r="T120" s="955"/>
      <c r="U120" s="955"/>
    </row>
    <row r="121" spans="1:21" x14ac:dyDescent="0.2">
      <c r="A121" s="700">
        <f>ACTIVOS!A15</f>
        <v>0</v>
      </c>
      <c r="B121" s="700"/>
      <c r="C121" s="700"/>
      <c r="D121" s="639">
        <f>ACTIVOS!B15</f>
        <v>0</v>
      </c>
      <c r="E121" s="652">
        <f>ACTIVOS!C15</f>
        <v>0</v>
      </c>
      <c r="F121" s="639">
        <f>ACTIVOS!D15</f>
        <v>0</v>
      </c>
      <c r="G121" s="653">
        <f>ACTIVOS!E15</f>
        <v>0</v>
      </c>
      <c r="H121" s="654">
        <f>ACTIVOS!F15</f>
        <v>0</v>
      </c>
      <c r="I121" s="526">
        <f t="shared" si="5"/>
        <v>0</v>
      </c>
      <c r="J121" s="524">
        <f>ACTIVOS!G15</f>
        <v>0</v>
      </c>
      <c r="K121" s="660">
        <f>ACTIVOS!H15</f>
        <v>0</v>
      </c>
      <c r="L121" s="654">
        <f>ACTIVOS!I15</f>
        <v>0</v>
      </c>
      <c r="M121" s="545">
        <f t="shared" si="4"/>
        <v>0</v>
      </c>
      <c r="N121" s="524">
        <f>ACTIVOS!J15</f>
        <v>0</v>
      </c>
      <c r="O121" s="957"/>
      <c r="P121" s="955"/>
      <c r="Q121" s="955"/>
      <c r="R121" s="955"/>
      <c r="S121" s="955"/>
      <c r="T121" s="955"/>
      <c r="U121" s="955"/>
    </row>
    <row r="122" spans="1:21" x14ac:dyDescent="0.2">
      <c r="A122" s="700">
        <f>ACTIVOS!A16</f>
        <v>0</v>
      </c>
      <c r="B122" s="700"/>
      <c r="C122" s="700"/>
      <c r="D122" s="639">
        <f>ACTIVOS!B16</f>
        <v>0</v>
      </c>
      <c r="E122" s="652">
        <f>ACTIVOS!C16</f>
        <v>0</v>
      </c>
      <c r="F122" s="639">
        <f>ACTIVOS!D16</f>
        <v>0</v>
      </c>
      <c r="G122" s="653">
        <f>ACTIVOS!E16</f>
        <v>0</v>
      </c>
      <c r="H122" s="654">
        <f>ACTIVOS!F16</f>
        <v>0</v>
      </c>
      <c r="I122" s="526">
        <f t="shared" si="5"/>
        <v>0</v>
      </c>
      <c r="J122" s="524">
        <f>ACTIVOS!G16</f>
        <v>0</v>
      </c>
      <c r="K122" s="660">
        <f>ACTIVOS!H16</f>
        <v>0</v>
      </c>
      <c r="L122" s="654">
        <f>ACTIVOS!I16</f>
        <v>0</v>
      </c>
      <c r="M122" s="545">
        <f t="shared" si="4"/>
        <v>0</v>
      </c>
      <c r="N122" s="524">
        <f>ACTIVOS!J16</f>
        <v>0</v>
      </c>
      <c r="O122" s="957"/>
      <c r="P122" s="955"/>
      <c r="Q122" s="955"/>
      <c r="R122" s="955"/>
      <c r="S122" s="955"/>
      <c r="T122" s="955"/>
      <c r="U122" s="955"/>
    </row>
    <row r="123" spans="1:21" x14ac:dyDescent="0.2">
      <c r="A123" s="700">
        <f>ACTIVOS!A17</f>
        <v>0</v>
      </c>
      <c r="B123" s="700"/>
      <c r="C123" s="700"/>
      <c r="D123" s="639">
        <f>ACTIVOS!B17</f>
        <v>0</v>
      </c>
      <c r="E123" s="652">
        <f>ACTIVOS!C17</f>
        <v>0</v>
      </c>
      <c r="F123" s="639">
        <f>ACTIVOS!D17</f>
        <v>0</v>
      </c>
      <c r="G123" s="653">
        <f>ACTIVOS!E17</f>
        <v>0</v>
      </c>
      <c r="H123" s="654">
        <f>ACTIVOS!F17</f>
        <v>0</v>
      </c>
      <c r="I123" s="526">
        <f t="shared" si="5"/>
        <v>0</v>
      </c>
      <c r="J123" s="524">
        <f>ACTIVOS!G17</f>
        <v>0</v>
      </c>
      <c r="K123" s="660">
        <f>ACTIVOS!H17</f>
        <v>0</v>
      </c>
      <c r="L123" s="654">
        <f>ACTIVOS!I17</f>
        <v>0</v>
      </c>
      <c r="M123" s="545">
        <f t="shared" si="4"/>
        <v>0</v>
      </c>
      <c r="N123" s="524">
        <f>ACTIVOS!J17</f>
        <v>0</v>
      </c>
      <c r="O123" s="957"/>
      <c r="P123" s="955"/>
      <c r="Q123" s="955"/>
      <c r="R123" s="955"/>
      <c r="S123" s="955"/>
      <c r="T123" s="955"/>
      <c r="U123" s="955"/>
    </row>
    <row r="124" spans="1:21" x14ac:dyDescent="0.2">
      <c r="A124" s="700">
        <f>ACTIVOS!A18</f>
        <v>0</v>
      </c>
      <c r="B124" s="700"/>
      <c r="C124" s="700"/>
      <c r="D124" s="639">
        <f>ACTIVOS!B18</f>
        <v>0</v>
      </c>
      <c r="E124" s="652">
        <f>ACTIVOS!C18</f>
        <v>0</v>
      </c>
      <c r="F124" s="639">
        <f>ACTIVOS!D18</f>
        <v>0</v>
      </c>
      <c r="G124" s="653">
        <f>ACTIVOS!E18</f>
        <v>0</v>
      </c>
      <c r="H124" s="654">
        <f>ACTIVOS!F18</f>
        <v>0</v>
      </c>
      <c r="I124" s="526">
        <f t="shared" si="5"/>
        <v>0</v>
      </c>
      <c r="J124" s="524">
        <f>ACTIVOS!G18</f>
        <v>0</v>
      </c>
      <c r="K124" s="660">
        <f>ACTIVOS!H18</f>
        <v>0</v>
      </c>
      <c r="L124" s="654">
        <f>ACTIVOS!I18</f>
        <v>0</v>
      </c>
      <c r="M124" s="545">
        <f t="shared" si="4"/>
        <v>0</v>
      </c>
      <c r="N124" s="524">
        <f>ACTIVOS!J18</f>
        <v>0</v>
      </c>
      <c r="O124" s="957"/>
      <c r="P124" s="955"/>
      <c r="Q124" s="955"/>
      <c r="R124" s="955"/>
      <c r="S124" s="955"/>
      <c r="T124" s="955"/>
      <c r="U124" s="955"/>
    </row>
    <row r="125" spans="1:21" x14ac:dyDescent="0.2">
      <c r="A125" s="700">
        <f>ACTIVOS!A19</f>
        <v>0</v>
      </c>
      <c r="B125" s="700"/>
      <c r="C125" s="700"/>
      <c r="D125" s="639">
        <f>ACTIVOS!B19</f>
        <v>0</v>
      </c>
      <c r="E125" s="652">
        <f>ACTIVOS!C19</f>
        <v>0</v>
      </c>
      <c r="F125" s="639">
        <f>ACTIVOS!D19</f>
        <v>0</v>
      </c>
      <c r="G125" s="653">
        <f>ACTIVOS!E19</f>
        <v>0</v>
      </c>
      <c r="H125" s="654">
        <f>ACTIVOS!F19</f>
        <v>0</v>
      </c>
      <c r="I125" s="526">
        <f t="shared" si="5"/>
        <v>0</v>
      </c>
      <c r="J125" s="524">
        <f>ACTIVOS!G19</f>
        <v>0</v>
      </c>
      <c r="K125" s="660">
        <f>ACTIVOS!H19</f>
        <v>0</v>
      </c>
      <c r="L125" s="654">
        <f>ACTIVOS!I19</f>
        <v>0</v>
      </c>
      <c r="M125" s="545">
        <f t="shared" si="4"/>
        <v>0</v>
      </c>
      <c r="N125" s="524">
        <f>ACTIVOS!J19</f>
        <v>0</v>
      </c>
      <c r="O125" s="957"/>
      <c r="P125" s="955"/>
      <c r="Q125" s="955"/>
      <c r="R125" s="955"/>
      <c r="S125" s="955"/>
      <c r="T125" s="955"/>
      <c r="U125" s="955"/>
    </row>
    <row r="126" spans="1:21" x14ac:dyDescent="0.2">
      <c r="A126" s="700">
        <f>ACTIVOS!A20</f>
        <v>0</v>
      </c>
      <c r="B126" s="700"/>
      <c r="C126" s="700"/>
      <c r="D126" s="639">
        <f>ACTIVOS!B20</f>
        <v>0</v>
      </c>
      <c r="E126" s="652">
        <f>ACTIVOS!C20</f>
        <v>0</v>
      </c>
      <c r="F126" s="639">
        <f>ACTIVOS!D20</f>
        <v>0</v>
      </c>
      <c r="G126" s="653">
        <f>ACTIVOS!E20</f>
        <v>0</v>
      </c>
      <c r="H126" s="654">
        <f>ACTIVOS!F20</f>
        <v>0</v>
      </c>
      <c r="I126" s="526">
        <f t="shared" si="5"/>
        <v>0</v>
      </c>
      <c r="J126" s="524">
        <f>ACTIVOS!G20</f>
        <v>0</v>
      </c>
      <c r="K126" s="660">
        <f>ACTIVOS!H20</f>
        <v>0</v>
      </c>
      <c r="L126" s="654">
        <f>ACTIVOS!I20</f>
        <v>0</v>
      </c>
      <c r="M126" s="545">
        <f t="shared" si="4"/>
        <v>0</v>
      </c>
      <c r="N126" s="524">
        <f>ACTIVOS!J20</f>
        <v>0</v>
      </c>
      <c r="O126" s="957"/>
      <c r="P126" s="955"/>
      <c r="Q126" s="955"/>
      <c r="R126" s="955"/>
      <c r="S126" s="955"/>
      <c r="T126" s="955"/>
      <c r="U126" s="955"/>
    </row>
    <row r="127" spans="1:21" x14ac:dyDescent="0.2">
      <c r="A127" s="700">
        <f>ACTIVOS!A21</f>
        <v>0</v>
      </c>
      <c r="B127" s="700"/>
      <c r="C127" s="700"/>
      <c r="D127" s="639">
        <f>ACTIVOS!B21</f>
        <v>0</v>
      </c>
      <c r="E127" s="652">
        <f>ACTIVOS!C21</f>
        <v>0</v>
      </c>
      <c r="F127" s="639">
        <f>ACTIVOS!D21</f>
        <v>0</v>
      </c>
      <c r="G127" s="653">
        <f>ACTIVOS!E21</f>
        <v>0</v>
      </c>
      <c r="H127" s="654">
        <f>ACTIVOS!F21</f>
        <v>0</v>
      </c>
      <c r="I127" s="526">
        <f t="shared" si="5"/>
        <v>0</v>
      </c>
      <c r="J127" s="524">
        <f>ACTIVOS!G21</f>
        <v>0</v>
      </c>
      <c r="K127" s="660">
        <f>ACTIVOS!H21</f>
        <v>0</v>
      </c>
      <c r="L127" s="654">
        <f>ACTIVOS!I21</f>
        <v>0</v>
      </c>
      <c r="M127" s="545">
        <f t="shared" si="4"/>
        <v>0</v>
      </c>
      <c r="N127" s="524">
        <f>ACTIVOS!J21</f>
        <v>0</v>
      </c>
      <c r="O127" s="957"/>
      <c r="P127" s="955"/>
      <c r="Q127" s="955"/>
      <c r="R127" s="955"/>
      <c r="S127" s="955"/>
      <c r="T127" s="955"/>
      <c r="U127" s="955"/>
    </row>
    <row r="128" spans="1:21" x14ac:dyDescent="0.2">
      <c r="A128" s="700">
        <f>ACTIVOS!A22</f>
        <v>0</v>
      </c>
      <c r="B128" s="700"/>
      <c r="C128" s="700"/>
      <c r="D128" s="639">
        <f>ACTIVOS!B22</f>
        <v>0</v>
      </c>
      <c r="E128" s="652">
        <f>ACTIVOS!C22</f>
        <v>0</v>
      </c>
      <c r="F128" s="639">
        <f>ACTIVOS!D22</f>
        <v>0</v>
      </c>
      <c r="G128" s="653">
        <f>ACTIVOS!E22</f>
        <v>0</v>
      </c>
      <c r="H128" s="654">
        <f>ACTIVOS!F22</f>
        <v>0</v>
      </c>
      <c r="I128" s="526">
        <f t="shared" si="5"/>
        <v>0</v>
      </c>
      <c r="J128" s="524">
        <f>ACTIVOS!G22</f>
        <v>0</v>
      </c>
      <c r="K128" s="660">
        <f>ACTIVOS!H22</f>
        <v>0</v>
      </c>
      <c r="L128" s="654">
        <f>ACTIVOS!I22</f>
        <v>0</v>
      </c>
      <c r="M128" s="545">
        <f t="shared" si="4"/>
        <v>0</v>
      </c>
      <c r="N128" s="524">
        <f>ACTIVOS!J22</f>
        <v>0</v>
      </c>
      <c r="O128" s="957"/>
      <c r="P128" s="955"/>
      <c r="Q128" s="955"/>
      <c r="R128" s="955"/>
      <c r="S128" s="955"/>
      <c r="T128" s="955"/>
      <c r="U128" s="955"/>
    </row>
    <row r="129" spans="1:21" x14ac:dyDescent="0.2">
      <c r="A129" s="700">
        <f>ACTIVOS!A23</f>
        <v>0</v>
      </c>
      <c r="B129" s="700"/>
      <c r="C129" s="700"/>
      <c r="D129" s="639">
        <f>ACTIVOS!B23</f>
        <v>0</v>
      </c>
      <c r="E129" s="652">
        <f>ACTIVOS!C23</f>
        <v>0</v>
      </c>
      <c r="F129" s="639">
        <f>ACTIVOS!D23</f>
        <v>0</v>
      </c>
      <c r="G129" s="653">
        <f>ACTIVOS!E23</f>
        <v>0</v>
      </c>
      <c r="H129" s="654">
        <f>ACTIVOS!F23</f>
        <v>0</v>
      </c>
      <c r="I129" s="526">
        <f t="shared" si="5"/>
        <v>0</v>
      </c>
      <c r="J129" s="524">
        <f>ACTIVOS!G23</f>
        <v>0</v>
      </c>
      <c r="K129" s="660">
        <f>ACTIVOS!H23</f>
        <v>0</v>
      </c>
      <c r="L129" s="654">
        <f>ACTIVOS!I23</f>
        <v>0</v>
      </c>
      <c r="M129" s="545">
        <f t="shared" si="4"/>
        <v>0</v>
      </c>
      <c r="N129" s="524">
        <f>ACTIVOS!J23</f>
        <v>0</v>
      </c>
      <c r="O129" s="957"/>
      <c r="P129" s="955"/>
      <c r="Q129" s="955"/>
      <c r="R129" s="955"/>
      <c r="S129" s="955"/>
      <c r="T129" s="955"/>
      <c r="U129" s="955"/>
    </row>
    <row r="130" spans="1:21" x14ac:dyDescent="0.2">
      <c r="A130" s="700">
        <f>ACTIVOS!A24</f>
        <v>0</v>
      </c>
      <c r="B130" s="700"/>
      <c r="C130" s="700"/>
      <c r="D130" s="639">
        <f>ACTIVOS!B24</f>
        <v>0</v>
      </c>
      <c r="E130" s="652">
        <f>ACTIVOS!C24</f>
        <v>0</v>
      </c>
      <c r="F130" s="639">
        <f>ACTIVOS!D24</f>
        <v>0</v>
      </c>
      <c r="G130" s="653">
        <f>ACTIVOS!E24</f>
        <v>0</v>
      </c>
      <c r="H130" s="654">
        <f>ACTIVOS!F24</f>
        <v>0</v>
      </c>
      <c r="I130" s="526">
        <f t="shared" si="5"/>
        <v>0</v>
      </c>
      <c r="J130" s="524">
        <f>ACTIVOS!G24</f>
        <v>0</v>
      </c>
      <c r="K130" s="660">
        <f>ACTIVOS!H24</f>
        <v>0</v>
      </c>
      <c r="L130" s="654">
        <f>ACTIVOS!I24</f>
        <v>0</v>
      </c>
      <c r="M130" s="545">
        <f t="shared" si="4"/>
        <v>0</v>
      </c>
      <c r="N130" s="524">
        <f>ACTIVOS!J24</f>
        <v>0</v>
      </c>
      <c r="O130" s="957"/>
      <c r="P130" s="955"/>
      <c r="Q130" s="955"/>
      <c r="R130" s="955"/>
      <c r="S130" s="955"/>
      <c r="T130" s="955"/>
      <c r="U130" s="955"/>
    </row>
    <row r="131" spans="1:21" x14ac:dyDescent="0.2">
      <c r="A131" s="700">
        <f>ACTIVOS!A25</f>
        <v>0</v>
      </c>
      <c r="B131" s="700"/>
      <c r="C131" s="700"/>
      <c r="D131" s="639">
        <f>ACTIVOS!B25</f>
        <v>0</v>
      </c>
      <c r="E131" s="652">
        <f>ACTIVOS!C25</f>
        <v>0</v>
      </c>
      <c r="F131" s="639">
        <f>ACTIVOS!D25</f>
        <v>0</v>
      </c>
      <c r="G131" s="653">
        <f>ACTIVOS!E25</f>
        <v>0</v>
      </c>
      <c r="H131" s="654">
        <f>ACTIVOS!F25</f>
        <v>0</v>
      </c>
      <c r="I131" s="526">
        <f t="shared" si="5"/>
        <v>0</v>
      </c>
      <c r="J131" s="524">
        <f>ACTIVOS!G25</f>
        <v>0</v>
      </c>
      <c r="K131" s="660">
        <f>ACTIVOS!H25</f>
        <v>0</v>
      </c>
      <c r="L131" s="654">
        <f>ACTIVOS!I25</f>
        <v>0</v>
      </c>
      <c r="M131" s="545">
        <f t="shared" si="4"/>
        <v>0</v>
      </c>
      <c r="N131" s="524">
        <f>ACTIVOS!J25</f>
        <v>0</v>
      </c>
      <c r="O131" s="957"/>
      <c r="P131" s="955"/>
      <c r="Q131" s="955"/>
      <c r="R131" s="955"/>
      <c r="S131" s="955"/>
      <c r="T131" s="955"/>
      <c r="U131" s="955"/>
    </row>
    <row r="132" spans="1:21" x14ac:dyDescent="0.2">
      <c r="A132" s="700">
        <f>ACTIVOS!A26</f>
        <v>0</v>
      </c>
      <c r="B132" s="700"/>
      <c r="C132" s="700"/>
      <c r="D132" s="639">
        <f>ACTIVOS!B26</f>
        <v>0</v>
      </c>
      <c r="E132" s="652">
        <f>ACTIVOS!C26</f>
        <v>0</v>
      </c>
      <c r="F132" s="639">
        <f>ACTIVOS!D26</f>
        <v>0</v>
      </c>
      <c r="G132" s="653">
        <f>ACTIVOS!E26</f>
        <v>0</v>
      </c>
      <c r="H132" s="654">
        <f>ACTIVOS!F26</f>
        <v>0</v>
      </c>
      <c r="I132" s="526">
        <f t="shared" si="5"/>
        <v>0</v>
      </c>
      <c r="J132" s="524">
        <f>ACTIVOS!G26</f>
        <v>0</v>
      </c>
      <c r="K132" s="660">
        <f>ACTIVOS!H26</f>
        <v>0</v>
      </c>
      <c r="L132" s="654">
        <f>ACTIVOS!I26</f>
        <v>0</v>
      </c>
      <c r="M132" s="545">
        <f t="shared" si="4"/>
        <v>0</v>
      </c>
      <c r="N132" s="524">
        <f>ACTIVOS!J26</f>
        <v>0</v>
      </c>
      <c r="O132" s="957"/>
      <c r="P132" s="955"/>
      <c r="Q132" s="955"/>
      <c r="R132" s="955"/>
      <c r="S132" s="955"/>
      <c r="T132" s="955"/>
      <c r="U132" s="955"/>
    </row>
    <row r="133" spans="1:21" x14ac:dyDescent="0.2">
      <c r="A133" s="700">
        <f>ACTIVOS!A27</f>
        <v>0</v>
      </c>
      <c r="B133" s="700"/>
      <c r="C133" s="700"/>
      <c r="D133" s="639">
        <f>ACTIVOS!B27</f>
        <v>0</v>
      </c>
      <c r="E133" s="652">
        <f>ACTIVOS!C27</f>
        <v>0</v>
      </c>
      <c r="F133" s="639">
        <f>ACTIVOS!D27</f>
        <v>0</v>
      </c>
      <c r="G133" s="653">
        <f>ACTIVOS!E27</f>
        <v>0</v>
      </c>
      <c r="H133" s="654">
        <f>ACTIVOS!F27</f>
        <v>0</v>
      </c>
      <c r="I133" s="526">
        <f t="shared" si="5"/>
        <v>0</v>
      </c>
      <c r="J133" s="524">
        <f>ACTIVOS!G27</f>
        <v>0</v>
      </c>
      <c r="K133" s="660">
        <f>ACTIVOS!H27</f>
        <v>0</v>
      </c>
      <c r="L133" s="654">
        <f>ACTIVOS!I27</f>
        <v>0</v>
      </c>
      <c r="M133" s="545">
        <f t="shared" si="4"/>
        <v>0</v>
      </c>
      <c r="N133" s="524">
        <f>ACTIVOS!J27</f>
        <v>0</v>
      </c>
      <c r="O133" s="957"/>
      <c r="P133" s="955"/>
      <c r="Q133" s="955"/>
      <c r="R133" s="955"/>
      <c r="S133" s="955"/>
      <c r="T133" s="955"/>
      <c r="U133" s="955"/>
    </row>
    <row r="134" spans="1:21" x14ac:dyDescent="0.2">
      <c r="A134" s="700">
        <f>ACTIVOS!A28</f>
        <v>0</v>
      </c>
      <c r="B134" s="700"/>
      <c r="C134" s="700"/>
      <c r="D134" s="639">
        <f>ACTIVOS!B28</f>
        <v>0</v>
      </c>
      <c r="E134" s="652">
        <f>ACTIVOS!C28</f>
        <v>0</v>
      </c>
      <c r="F134" s="639">
        <f>ACTIVOS!D28</f>
        <v>0</v>
      </c>
      <c r="G134" s="653">
        <f>ACTIVOS!E28</f>
        <v>0</v>
      </c>
      <c r="H134" s="654">
        <f>ACTIVOS!F28</f>
        <v>0</v>
      </c>
      <c r="I134" s="526">
        <f t="shared" si="5"/>
        <v>0</v>
      </c>
      <c r="J134" s="524">
        <f>ACTIVOS!G28</f>
        <v>0</v>
      </c>
      <c r="K134" s="660">
        <f>ACTIVOS!H28</f>
        <v>0</v>
      </c>
      <c r="L134" s="654">
        <f>ACTIVOS!I28</f>
        <v>0</v>
      </c>
      <c r="M134" s="545">
        <f t="shared" si="4"/>
        <v>0</v>
      </c>
      <c r="N134" s="524">
        <f>ACTIVOS!J28</f>
        <v>0</v>
      </c>
      <c r="O134" s="957"/>
      <c r="P134" s="955"/>
      <c r="Q134" s="955"/>
      <c r="R134" s="955"/>
      <c r="S134" s="955"/>
      <c r="T134" s="955"/>
      <c r="U134" s="955"/>
    </row>
    <row r="135" spans="1:21" x14ac:dyDescent="0.2">
      <c r="A135" s="700">
        <f>ACTIVOS!A29</f>
        <v>0</v>
      </c>
      <c r="B135" s="700"/>
      <c r="C135" s="700"/>
      <c r="D135" s="639">
        <f>ACTIVOS!B29</f>
        <v>0</v>
      </c>
      <c r="E135" s="652">
        <f>ACTIVOS!C29</f>
        <v>0</v>
      </c>
      <c r="F135" s="639">
        <f>ACTIVOS!D29</f>
        <v>0</v>
      </c>
      <c r="G135" s="653">
        <f>ACTIVOS!E29</f>
        <v>0</v>
      </c>
      <c r="H135" s="654">
        <f>ACTIVOS!F29</f>
        <v>0</v>
      </c>
      <c r="I135" s="526">
        <f t="shared" si="5"/>
        <v>0</v>
      </c>
      <c r="J135" s="524">
        <f>ACTIVOS!G29</f>
        <v>0</v>
      </c>
      <c r="K135" s="660">
        <f>ACTIVOS!H29</f>
        <v>0</v>
      </c>
      <c r="L135" s="654">
        <f>ACTIVOS!I29</f>
        <v>0</v>
      </c>
      <c r="M135" s="545">
        <f t="shared" si="4"/>
        <v>0</v>
      </c>
      <c r="N135" s="524">
        <f>ACTIVOS!J29</f>
        <v>0</v>
      </c>
      <c r="O135" s="957"/>
      <c r="P135" s="955"/>
      <c r="Q135" s="955"/>
      <c r="R135" s="955"/>
      <c r="S135" s="955"/>
      <c r="T135" s="955"/>
      <c r="U135" s="955"/>
    </row>
    <row r="136" spans="1:21" x14ac:dyDescent="0.2">
      <c r="A136" s="700">
        <f>ACTIVOS!A30</f>
        <v>0</v>
      </c>
      <c r="B136" s="700"/>
      <c r="C136" s="700"/>
      <c r="D136" s="639">
        <f>ACTIVOS!B30</f>
        <v>0</v>
      </c>
      <c r="E136" s="652">
        <f>ACTIVOS!C30</f>
        <v>0</v>
      </c>
      <c r="F136" s="639">
        <f>ACTIVOS!D30</f>
        <v>0</v>
      </c>
      <c r="G136" s="653">
        <f>ACTIVOS!E30</f>
        <v>0</v>
      </c>
      <c r="H136" s="654">
        <f>ACTIVOS!F30</f>
        <v>0</v>
      </c>
      <c r="I136" s="526">
        <f t="shared" si="5"/>
        <v>0</v>
      </c>
      <c r="J136" s="524">
        <f>ACTIVOS!G30</f>
        <v>0</v>
      </c>
      <c r="K136" s="660">
        <f>ACTIVOS!H30</f>
        <v>0</v>
      </c>
      <c r="L136" s="654">
        <f>ACTIVOS!I30</f>
        <v>0</v>
      </c>
      <c r="M136" s="545">
        <f t="shared" si="4"/>
        <v>0</v>
      </c>
      <c r="N136" s="524">
        <f>ACTIVOS!J30</f>
        <v>0</v>
      </c>
      <c r="O136" s="957"/>
      <c r="P136" s="955"/>
      <c r="Q136" s="955"/>
      <c r="R136" s="955"/>
      <c r="S136" s="955"/>
      <c r="T136" s="955"/>
      <c r="U136" s="955"/>
    </row>
    <row r="137" spans="1:21" x14ac:dyDescent="0.2">
      <c r="A137" s="700">
        <f>ACTIVOS!A31</f>
        <v>0</v>
      </c>
      <c r="B137" s="700"/>
      <c r="C137" s="700"/>
      <c r="D137" s="639">
        <f>ACTIVOS!B31</f>
        <v>0</v>
      </c>
      <c r="E137" s="652">
        <f>ACTIVOS!C31</f>
        <v>0</v>
      </c>
      <c r="F137" s="639">
        <f>ACTIVOS!D31</f>
        <v>0</v>
      </c>
      <c r="G137" s="653">
        <f>ACTIVOS!E31</f>
        <v>0</v>
      </c>
      <c r="H137" s="654">
        <f>ACTIVOS!F31</f>
        <v>0</v>
      </c>
      <c r="I137" s="526">
        <f t="shared" si="5"/>
        <v>0</v>
      </c>
      <c r="J137" s="524">
        <f>ACTIVOS!G31</f>
        <v>0</v>
      </c>
      <c r="K137" s="660">
        <f>ACTIVOS!H31</f>
        <v>0</v>
      </c>
      <c r="L137" s="654">
        <f>ACTIVOS!I31</f>
        <v>0</v>
      </c>
      <c r="M137" s="545">
        <f t="shared" si="4"/>
        <v>0</v>
      </c>
      <c r="N137" s="524">
        <f>ACTIVOS!J31</f>
        <v>0</v>
      </c>
      <c r="O137" s="957"/>
      <c r="P137" s="955"/>
      <c r="Q137" s="955"/>
      <c r="R137" s="955"/>
      <c r="S137" s="955"/>
      <c r="T137" s="955"/>
      <c r="U137" s="955"/>
    </row>
    <row r="138" spans="1:21" x14ac:dyDescent="0.2">
      <c r="A138" s="700">
        <f>ACTIVOS!A32</f>
        <v>0</v>
      </c>
      <c r="B138" s="700"/>
      <c r="C138" s="700"/>
      <c r="D138" s="639">
        <f>ACTIVOS!B32</f>
        <v>0</v>
      </c>
      <c r="E138" s="652">
        <f>ACTIVOS!C32</f>
        <v>0</v>
      </c>
      <c r="F138" s="639">
        <f>ACTIVOS!D32</f>
        <v>0</v>
      </c>
      <c r="G138" s="653">
        <f>ACTIVOS!E32</f>
        <v>0</v>
      </c>
      <c r="H138" s="654">
        <f>ACTIVOS!F32</f>
        <v>0</v>
      </c>
      <c r="I138" s="526">
        <f t="shared" si="5"/>
        <v>0</v>
      </c>
      <c r="J138" s="524">
        <f>ACTIVOS!G32</f>
        <v>0</v>
      </c>
      <c r="K138" s="660">
        <f>ACTIVOS!H32</f>
        <v>0</v>
      </c>
      <c r="L138" s="654">
        <f>ACTIVOS!I32</f>
        <v>0</v>
      </c>
      <c r="M138" s="545">
        <f t="shared" si="4"/>
        <v>0</v>
      </c>
      <c r="N138" s="524">
        <f>ACTIVOS!J32</f>
        <v>0</v>
      </c>
      <c r="O138" s="957"/>
      <c r="P138" s="955"/>
      <c r="Q138" s="955"/>
      <c r="R138" s="955"/>
      <c r="S138" s="955"/>
      <c r="T138" s="955"/>
      <c r="U138" s="955"/>
    </row>
    <row r="139" spans="1:21" x14ac:dyDescent="0.2">
      <c r="A139" s="700">
        <f>ACTIVOS!A33</f>
        <v>0</v>
      </c>
      <c r="B139" s="700"/>
      <c r="C139" s="700"/>
      <c r="D139" s="639">
        <f>ACTIVOS!B33</f>
        <v>0</v>
      </c>
      <c r="E139" s="652">
        <f>ACTIVOS!C33</f>
        <v>0</v>
      </c>
      <c r="F139" s="639">
        <f>ACTIVOS!D33</f>
        <v>0</v>
      </c>
      <c r="G139" s="653">
        <f>ACTIVOS!E33</f>
        <v>0</v>
      </c>
      <c r="H139" s="654">
        <f>ACTIVOS!F33</f>
        <v>0</v>
      </c>
      <c r="I139" s="526">
        <f t="shared" si="5"/>
        <v>0</v>
      </c>
      <c r="J139" s="524">
        <f>ACTIVOS!G33</f>
        <v>0</v>
      </c>
      <c r="K139" s="660">
        <f>ACTIVOS!H33</f>
        <v>0</v>
      </c>
      <c r="L139" s="654">
        <f>ACTIVOS!I33</f>
        <v>0</v>
      </c>
      <c r="M139" s="545">
        <f t="shared" si="4"/>
        <v>0</v>
      </c>
      <c r="N139" s="524">
        <f>ACTIVOS!J33</f>
        <v>0</v>
      </c>
      <c r="O139" s="957"/>
      <c r="P139" s="955"/>
      <c r="Q139" s="955"/>
      <c r="R139" s="955"/>
      <c r="S139" s="955"/>
      <c r="T139" s="955"/>
      <c r="U139" s="955"/>
    </row>
    <row r="140" spans="1:21" x14ac:dyDescent="0.2">
      <c r="A140" s="700">
        <f>ACTIVOS!A34</f>
        <v>0</v>
      </c>
      <c r="B140" s="700"/>
      <c r="C140" s="700"/>
      <c r="D140" s="639">
        <f>ACTIVOS!B34</f>
        <v>0</v>
      </c>
      <c r="E140" s="652">
        <f>ACTIVOS!C34</f>
        <v>0</v>
      </c>
      <c r="F140" s="639">
        <f>ACTIVOS!D34</f>
        <v>0</v>
      </c>
      <c r="G140" s="653">
        <f>ACTIVOS!E34</f>
        <v>0</v>
      </c>
      <c r="H140" s="654">
        <f>ACTIVOS!F34</f>
        <v>0</v>
      </c>
      <c r="I140" s="526">
        <f t="shared" si="5"/>
        <v>0</v>
      </c>
      <c r="J140" s="524">
        <f>ACTIVOS!G34</f>
        <v>0</v>
      </c>
      <c r="K140" s="660">
        <f>ACTIVOS!H34</f>
        <v>0</v>
      </c>
      <c r="L140" s="654">
        <f>ACTIVOS!I34</f>
        <v>0</v>
      </c>
      <c r="M140" s="545">
        <f t="shared" si="4"/>
        <v>0</v>
      </c>
      <c r="N140" s="524">
        <f>ACTIVOS!J34</f>
        <v>0</v>
      </c>
      <c r="O140" s="957"/>
      <c r="P140" s="955"/>
      <c r="Q140" s="955"/>
      <c r="R140" s="955"/>
      <c r="S140" s="955"/>
      <c r="T140" s="955"/>
      <c r="U140" s="955"/>
    </row>
    <row r="141" spans="1:21" x14ac:dyDescent="0.2">
      <c r="A141" s="700">
        <f>ACTIVOS!A35</f>
        <v>0</v>
      </c>
      <c r="B141" s="700"/>
      <c r="C141" s="700"/>
      <c r="D141" s="639">
        <f>ACTIVOS!B35</f>
        <v>0</v>
      </c>
      <c r="E141" s="652">
        <f>ACTIVOS!C35</f>
        <v>0</v>
      </c>
      <c r="F141" s="639">
        <f>ACTIVOS!D35</f>
        <v>0</v>
      </c>
      <c r="G141" s="653">
        <f>ACTIVOS!E35</f>
        <v>0</v>
      </c>
      <c r="H141" s="654">
        <f>ACTIVOS!F35</f>
        <v>0</v>
      </c>
      <c r="I141" s="526">
        <f t="shared" si="5"/>
        <v>0</v>
      </c>
      <c r="J141" s="524">
        <f>ACTIVOS!G35</f>
        <v>0</v>
      </c>
      <c r="K141" s="660">
        <f>ACTIVOS!H35</f>
        <v>0</v>
      </c>
      <c r="L141" s="654">
        <f>ACTIVOS!I35</f>
        <v>0</v>
      </c>
      <c r="M141" s="545">
        <f t="shared" si="4"/>
        <v>0</v>
      </c>
      <c r="N141" s="524">
        <f>ACTIVOS!J35</f>
        <v>0</v>
      </c>
      <c r="O141" s="957"/>
      <c r="P141" s="955"/>
      <c r="Q141" s="955"/>
      <c r="R141" s="955"/>
      <c r="S141" s="955"/>
      <c r="T141" s="955"/>
      <c r="U141" s="955"/>
    </row>
    <row r="142" spans="1:21" x14ac:dyDescent="0.2">
      <c r="A142" s="700">
        <f>ACTIVOS!A36</f>
        <v>0</v>
      </c>
      <c r="B142" s="700"/>
      <c r="C142" s="700"/>
      <c r="D142" s="639">
        <f>ACTIVOS!B36</f>
        <v>0</v>
      </c>
      <c r="E142" s="652">
        <f>ACTIVOS!C36</f>
        <v>0</v>
      </c>
      <c r="F142" s="639">
        <f>ACTIVOS!D36</f>
        <v>0</v>
      </c>
      <c r="G142" s="653">
        <f>ACTIVOS!E36</f>
        <v>0</v>
      </c>
      <c r="H142" s="654">
        <f>ACTIVOS!F36</f>
        <v>0</v>
      </c>
      <c r="I142" s="526">
        <f t="shared" si="5"/>
        <v>0</v>
      </c>
      <c r="J142" s="524">
        <f>ACTIVOS!G36</f>
        <v>0</v>
      </c>
      <c r="K142" s="660">
        <f>ACTIVOS!H36</f>
        <v>0</v>
      </c>
      <c r="L142" s="654">
        <f>ACTIVOS!I36</f>
        <v>0</v>
      </c>
      <c r="M142" s="545">
        <f t="shared" si="4"/>
        <v>0</v>
      </c>
      <c r="N142" s="524">
        <f>ACTIVOS!J36</f>
        <v>0</v>
      </c>
      <c r="O142" s="957"/>
      <c r="P142" s="955"/>
      <c r="Q142" s="955"/>
      <c r="R142" s="955"/>
      <c r="S142" s="955"/>
      <c r="T142" s="955"/>
      <c r="U142" s="955"/>
    </row>
    <row r="143" spans="1:21" x14ac:dyDescent="0.2">
      <c r="A143" s="700">
        <f>ACTIVOS!A37</f>
        <v>0</v>
      </c>
      <c r="B143" s="700"/>
      <c r="C143" s="700"/>
      <c r="D143" s="655">
        <f>ACTIVOS!B37</f>
        <v>0</v>
      </c>
      <c r="E143" s="656">
        <f>ACTIVOS!C37</f>
        <v>0</v>
      </c>
      <c r="F143" s="655">
        <f>ACTIVOS!D37</f>
        <v>0</v>
      </c>
      <c r="G143" s="657">
        <f>ACTIVOS!E37</f>
        <v>0</v>
      </c>
      <c r="H143" s="658">
        <f>ACTIVOS!F37</f>
        <v>0</v>
      </c>
      <c r="I143" s="550">
        <f t="shared" si="5"/>
        <v>0</v>
      </c>
      <c r="J143" s="524">
        <f>ACTIVOS!G37</f>
        <v>0</v>
      </c>
      <c r="K143" s="661">
        <f>ACTIVOS!H37</f>
        <v>0</v>
      </c>
      <c r="L143" s="658">
        <f>ACTIVOS!I37</f>
        <v>0</v>
      </c>
      <c r="M143" s="546">
        <f t="shared" si="4"/>
        <v>0</v>
      </c>
      <c r="N143" s="524">
        <f>ACTIVOS!J37</f>
        <v>0</v>
      </c>
      <c r="O143" s="957"/>
      <c r="P143" s="955"/>
      <c r="Q143" s="955"/>
      <c r="R143" s="955"/>
      <c r="S143" s="955"/>
      <c r="T143" s="955"/>
      <c r="U143" s="955"/>
    </row>
    <row r="144" spans="1:21" ht="13.5" x14ac:dyDescent="0.2">
      <c r="A144" s="854" t="str">
        <f>ACTIVOS!A38</f>
        <v>TOTALES</v>
      </c>
      <c r="B144" s="854"/>
      <c r="C144" s="854"/>
      <c r="D144" s="430"/>
      <c r="E144" s="430"/>
      <c r="F144" s="430"/>
      <c r="G144" s="430"/>
      <c r="H144" s="430"/>
      <c r="I144" s="551">
        <f>SUM(I119:I143)</f>
        <v>0</v>
      </c>
      <c r="J144" s="548">
        <f>ACTIVOS!G38</f>
        <v>0</v>
      </c>
      <c r="K144" s="498">
        <f>ACTIVOS!H38</f>
        <v>0</v>
      </c>
      <c r="L144" s="430">
        <f>ACTIVOS!I38</f>
        <v>0</v>
      </c>
      <c r="M144" s="547">
        <f>SUM(M119:M143)</f>
        <v>0</v>
      </c>
      <c r="N144" s="548">
        <f>ACTIVOS!J38</f>
        <v>0</v>
      </c>
      <c r="O144" s="998"/>
      <c r="P144" s="954"/>
      <c r="Q144" s="954"/>
      <c r="R144" s="954"/>
      <c r="S144" s="954"/>
      <c r="T144" s="954"/>
      <c r="U144" s="954"/>
    </row>
    <row r="145" spans="1:28" s="461" customFormat="1" x14ac:dyDescent="0.2">
      <c r="A145" s="459"/>
      <c r="B145" s="459"/>
      <c r="C145" s="459"/>
      <c r="D145" s="459"/>
      <c r="E145" s="459"/>
      <c r="F145" s="459"/>
      <c r="G145" s="459"/>
      <c r="H145" s="459"/>
      <c r="I145" s="460"/>
      <c r="J145" s="459"/>
      <c r="K145" s="459"/>
      <c r="L145" s="460"/>
    </row>
    <row r="146" spans="1:28" s="461" customFormat="1" x14ac:dyDescent="0.2">
      <c r="A146" s="427"/>
      <c r="B146" s="428" t="s">
        <v>526</v>
      </c>
      <c r="C146" s="427"/>
      <c r="D146" s="427"/>
      <c r="E146" s="427"/>
      <c r="F146" s="427"/>
      <c r="G146" s="427"/>
      <c r="H146" s="427"/>
      <c r="I146" s="426"/>
      <c r="J146" s="426"/>
      <c r="K146" s="426"/>
      <c r="L146" s="426"/>
      <c r="M146" s="426"/>
      <c r="N146" s="426"/>
      <c r="O146" s="426"/>
      <c r="P146" s="426"/>
      <c r="Q146" s="426"/>
      <c r="R146" s="426"/>
      <c r="S146" s="426"/>
      <c r="T146" s="426"/>
      <c r="U146" s="426"/>
      <c r="V146" s="426"/>
      <c r="W146" s="426"/>
      <c r="X146" s="426"/>
      <c r="Y146" s="426"/>
      <c r="Z146" s="426"/>
      <c r="AA146" s="426"/>
      <c r="AB146" s="426"/>
    </row>
    <row r="148" spans="1:28" s="461" customFormat="1" x14ac:dyDescent="0.2">
      <c r="A148" s="462" t="s">
        <v>549</v>
      </c>
      <c r="B148" s="463"/>
      <c r="C148" s="463"/>
      <c r="D148" s="463"/>
      <c r="E148" s="465"/>
      <c r="F148" s="465"/>
      <c r="G148" s="465"/>
      <c r="H148" s="465"/>
      <c r="I148" s="466"/>
      <c r="J148" s="464"/>
      <c r="K148" s="465"/>
      <c r="L148" s="466"/>
      <c r="M148" s="468"/>
      <c r="N148" s="468"/>
      <c r="O148" s="468"/>
      <c r="P148" s="468"/>
      <c r="Q148" s="468"/>
      <c r="R148" s="468"/>
      <c r="S148" s="468"/>
      <c r="T148" s="468"/>
      <c r="U148" s="468"/>
    </row>
    <row r="149" spans="1:28" s="461" customFormat="1" x14ac:dyDescent="0.2">
      <c r="A149" s="464" t="s">
        <v>550</v>
      </c>
      <c r="B149" s="465"/>
      <c r="C149" s="465"/>
      <c r="D149" s="465"/>
      <c r="E149" s="465"/>
      <c r="F149" s="465"/>
      <c r="G149" s="465"/>
      <c r="H149" s="465"/>
      <c r="I149" s="466"/>
      <c r="J149" s="464" t="s">
        <v>561</v>
      </c>
      <c r="K149" s="465"/>
      <c r="L149" s="466"/>
      <c r="M149" s="468"/>
      <c r="N149" s="468"/>
      <c r="O149" s="468"/>
      <c r="P149" s="468"/>
      <c r="Q149" s="468"/>
      <c r="R149" s="468"/>
      <c r="S149" s="468"/>
      <c r="T149" s="468"/>
      <c r="U149" s="468"/>
    </row>
    <row r="150" spans="1:28" s="461" customFormat="1" ht="13.5" thickBot="1" x14ac:dyDescent="0.25">
      <c r="A150" s="464"/>
      <c r="B150" s="465"/>
      <c r="C150" s="465"/>
      <c r="D150" s="465"/>
      <c r="E150" s="465"/>
      <c r="F150" s="467" t="s">
        <v>551</v>
      </c>
      <c r="G150" s="465"/>
      <c r="H150" s="465"/>
      <c r="I150" s="466"/>
      <c r="J150" s="465"/>
      <c r="K150" s="465"/>
      <c r="L150" s="466"/>
      <c r="M150" s="468"/>
      <c r="N150" s="468"/>
      <c r="O150" s="468"/>
      <c r="P150" s="468"/>
      <c r="Q150" s="468"/>
      <c r="R150" s="468"/>
      <c r="S150" s="468"/>
      <c r="T150" s="468"/>
      <c r="U150" s="468"/>
    </row>
    <row r="151" spans="1:28" s="461" customFormat="1" x14ac:dyDescent="0.2">
      <c r="A151" s="713"/>
      <c r="B151" s="714"/>
      <c r="C151" s="714"/>
      <c r="D151" s="714"/>
      <c r="E151" s="714"/>
      <c r="F151" s="714"/>
      <c r="G151" s="714"/>
      <c r="H151" s="714"/>
      <c r="I151" s="714"/>
      <c r="J151" s="714"/>
      <c r="K151" s="714"/>
      <c r="L151" s="714"/>
      <c r="M151" s="714"/>
      <c r="N151" s="714"/>
      <c r="O151" s="714"/>
      <c r="P151" s="714"/>
      <c r="Q151" s="714"/>
      <c r="R151" s="714"/>
      <c r="S151" s="714"/>
      <c r="T151" s="714"/>
      <c r="U151" s="715"/>
    </row>
    <row r="152" spans="1:28" s="461" customFormat="1" x14ac:dyDescent="0.2">
      <c r="A152" s="716"/>
      <c r="B152" s="717"/>
      <c r="C152" s="717"/>
      <c r="D152" s="717"/>
      <c r="E152" s="717"/>
      <c r="F152" s="717"/>
      <c r="G152" s="717"/>
      <c r="H152" s="717"/>
      <c r="I152" s="717"/>
      <c r="J152" s="717"/>
      <c r="K152" s="717"/>
      <c r="L152" s="717"/>
      <c r="M152" s="717"/>
      <c r="N152" s="717"/>
      <c r="O152" s="717"/>
      <c r="P152" s="717"/>
      <c r="Q152" s="717"/>
      <c r="R152" s="717"/>
      <c r="S152" s="717"/>
      <c r="T152" s="717"/>
      <c r="U152" s="718"/>
    </row>
    <row r="153" spans="1:28" s="461" customFormat="1" x14ac:dyDescent="0.2">
      <c r="A153" s="716"/>
      <c r="B153" s="717"/>
      <c r="C153" s="717"/>
      <c r="D153" s="717"/>
      <c r="E153" s="717"/>
      <c r="F153" s="717"/>
      <c r="G153" s="717"/>
      <c r="H153" s="717"/>
      <c r="I153" s="717"/>
      <c r="J153" s="717"/>
      <c r="K153" s="717"/>
      <c r="L153" s="717"/>
      <c r="M153" s="717"/>
      <c r="N153" s="717"/>
      <c r="O153" s="717"/>
      <c r="P153" s="717"/>
      <c r="Q153" s="717"/>
      <c r="R153" s="717"/>
      <c r="S153" s="717"/>
      <c r="T153" s="717"/>
      <c r="U153" s="718"/>
    </row>
    <row r="154" spans="1:28" s="461" customFormat="1" x14ac:dyDescent="0.2">
      <c r="A154" s="716"/>
      <c r="B154" s="717"/>
      <c r="C154" s="717"/>
      <c r="D154" s="717"/>
      <c r="E154" s="717"/>
      <c r="F154" s="717"/>
      <c r="G154" s="717"/>
      <c r="H154" s="717"/>
      <c r="I154" s="717"/>
      <c r="J154" s="717"/>
      <c r="K154" s="717"/>
      <c r="L154" s="717"/>
      <c r="M154" s="717"/>
      <c r="N154" s="717"/>
      <c r="O154" s="717"/>
      <c r="P154" s="717"/>
      <c r="Q154" s="717"/>
      <c r="R154" s="717"/>
      <c r="S154" s="717"/>
      <c r="T154" s="717"/>
      <c r="U154" s="718"/>
    </row>
    <row r="155" spans="1:28" s="461" customFormat="1" x14ac:dyDescent="0.2">
      <c r="A155" s="716"/>
      <c r="B155" s="717"/>
      <c r="C155" s="717"/>
      <c r="D155" s="717"/>
      <c r="E155" s="717"/>
      <c r="F155" s="717"/>
      <c r="G155" s="717"/>
      <c r="H155" s="717"/>
      <c r="I155" s="717"/>
      <c r="J155" s="717"/>
      <c r="K155" s="717"/>
      <c r="L155" s="717"/>
      <c r="M155" s="717"/>
      <c r="N155" s="717"/>
      <c r="O155" s="717"/>
      <c r="P155" s="717"/>
      <c r="Q155" s="717"/>
      <c r="R155" s="717"/>
      <c r="S155" s="717"/>
      <c r="T155" s="717"/>
      <c r="U155" s="718"/>
    </row>
    <row r="156" spans="1:28" s="461" customFormat="1" x14ac:dyDescent="0.2">
      <c r="A156" s="716"/>
      <c r="B156" s="717"/>
      <c r="C156" s="717"/>
      <c r="D156" s="717"/>
      <c r="E156" s="717"/>
      <c r="F156" s="717"/>
      <c r="G156" s="717"/>
      <c r="H156" s="717"/>
      <c r="I156" s="717"/>
      <c r="J156" s="717"/>
      <c r="K156" s="717"/>
      <c r="L156" s="717"/>
      <c r="M156" s="717"/>
      <c r="N156" s="717"/>
      <c r="O156" s="717"/>
      <c r="P156" s="717"/>
      <c r="Q156" s="717"/>
      <c r="R156" s="717"/>
      <c r="S156" s="717"/>
      <c r="T156" s="717"/>
      <c r="U156" s="718"/>
    </row>
    <row r="157" spans="1:28" s="461" customFormat="1" x14ac:dyDescent="0.2">
      <c r="A157" s="716"/>
      <c r="B157" s="717"/>
      <c r="C157" s="717"/>
      <c r="D157" s="717"/>
      <c r="E157" s="717"/>
      <c r="F157" s="717"/>
      <c r="G157" s="717"/>
      <c r="H157" s="717"/>
      <c r="I157" s="717"/>
      <c r="J157" s="717"/>
      <c r="K157" s="717"/>
      <c r="L157" s="717"/>
      <c r="M157" s="717"/>
      <c r="N157" s="717"/>
      <c r="O157" s="717"/>
      <c r="P157" s="717"/>
      <c r="Q157" s="717"/>
      <c r="R157" s="717"/>
      <c r="S157" s="717"/>
      <c r="T157" s="717"/>
      <c r="U157" s="718"/>
    </row>
    <row r="158" spans="1:28" s="461" customFormat="1" x14ac:dyDescent="0.2">
      <c r="A158" s="716"/>
      <c r="B158" s="717"/>
      <c r="C158" s="717"/>
      <c r="D158" s="717"/>
      <c r="E158" s="717"/>
      <c r="F158" s="717"/>
      <c r="G158" s="717"/>
      <c r="H158" s="717"/>
      <c r="I158" s="717"/>
      <c r="J158" s="717"/>
      <c r="K158" s="717"/>
      <c r="L158" s="717"/>
      <c r="M158" s="717"/>
      <c r="N158" s="717"/>
      <c r="O158" s="717"/>
      <c r="P158" s="717"/>
      <c r="Q158" s="717"/>
      <c r="R158" s="717"/>
      <c r="S158" s="717"/>
      <c r="T158" s="717"/>
      <c r="U158" s="718"/>
    </row>
    <row r="159" spans="1:28" s="461" customFormat="1" x14ac:dyDescent="0.2">
      <c r="A159" s="716"/>
      <c r="B159" s="717"/>
      <c r="C159" s="717"/>
      <c r="D159" s="717"/>
      <c r="E159" s="717"/>
      <c r="F159" s="717"/>
      <c r="G159" s="717"/>
      <c r="H159" s="717"/>
      <c r="I159" s="717"/>
      <c r="J159" s="717"/>
      <c r="K159" s="717"/>
      <c r="L159" s="717"/>
      <c r="M159" s="717"/>
      <c r="N159" s="717"/>
      <c r="O159" s="717"/>
      <c r="P159" s="717"/>
      <c r="Q159" s="717"/>
      <c r="R159" s="717"/>
      <c r="S159" s="717"/>
      <c r="T159" s="717"/>
      <c r="U159" s="718"/>
    </row>
    <row r="160" spans="1:28" ht="13.5" thickBot="1" x14ac:dyDescent="0.25">
      <c r="A160" s="719"/>
      <c r="B160" s="720"/>
      <c r="C160" s="720"/>
      <c r="D160" s="720"/>
      <c r="E160" s="720"/>
      <c r="F160" s="720"/>
      <c r="G160" s="720"/>
      <c r="H160" s="720"/>
      <c r="I160" s="720"/>
      <c r="J160" s="720"/>
      <c r="K160" s="720"/>
      <c r="L160" s="720"/>
      <c r="M160" s="720"/>
      <c r="N160" s="720"/>
      <c r="O160" s="720"/>
      <c r="P160" s="720"/>
      <c r="Q160" s="720"/>
      <c r="R160" s="720"/>
      <c r="S160" s="720"/>
      <c r="T160" s="720"/>
      <c r="U160" s="721"/>
    </row>
    <row r="161" spans="1:28" ht="13.5" thickBot="1" x14ac:dyDescent="0.25"/>
    <row r="162" spans="1:28" ht="14.25" customHeight="1" thickBot="1" x14ac:dyDescent="0.25">
      <c r="A162" s="856" t="s">
        <v>108</v>
      </c>
      <c r="B162" s="857"/>
      <c r="C162" s="860" t="s">
        <v>59</v>
      </c>
      <c r="D162" s="862" t="s">
        <v>73</v>
      </c>
      <c r="E162" s="857"/>
      <c r="F162" s="903" t="s">
        <v>78</v>
      </c>
      <c r="G162" s="958" t="s">
        <v>113</v>
      </c>
      <c r="H162" s="898" t="s">
        <v>74</v>
      </c>
      <c r="I162" s="850" t="s">
        <v>109</v>
      </c>
      <c r="J162" s="851"/>
      <c r="K162" s="776" t="s">
        <v>61</v>
      </c>
      <c r="L162" s="777"/>
      <c r="M162" s="777"/>
      <c r="N162" s="778"/>
      <c r="O162" s="776" t="s">
        <v>71</v>
      </c>
      <c r="P162" s="777"/>
      <c r="Q162" s="777"/>
      <c r="R162" s="778"/>
      <c r="T162" s="559" t="s">
        <v>552</v>
      </c>
      <c r="U162" s="560"/>
      <c r="V162" s="572"/>
      <c r="W162" s="124"/>
      <c r="X162" s="124"/>
      <c r="Y162" s="124"/>
      <c r="Z162" s="124"/>
      <c r="AA162" s="124"/>
      <c r="AB162" s="124"/>
    </row>
    <row r="163" spans="1:28" ht="14.25" thickBot="1" x14ac:dyDescent="0.25">
      <c r="A163" s="858"/>
      <c r="B163" s="859"/>
      <c r="C163" s="861"/>
      <c r="D163" s="863"/>
      <c r="E163" s="859"/>
      <c r="F163" s="904"/>
      <c r="G163" s="959"/>
      <c r="H163" s="899"/>
      <c r="I163" s="239" t="s">
        <v>11</v>
      </c>
      <c r="J163" s="240" t="s">
        <v>12</v>
      </c>
      <c r="K163" s="239" t="s">
        <v>11</v>
      </c>
      <c r="L163" s="240" t="s">
        <v>12</v>
      </c>
      <c r="M163" s="241" t="s">
        <v>60</v>
      </c>
      <c r="N163" s="499" t="s">
        <v>556</v>
      </c>
      <c r="O163" s="242" t="s">
        <v>11</v>
      </c>
      <c r="P163" s="237" t="s">
        <v>12</v>
      </c>
      <c r="Q163" s="241" t="s">
        <v>62</v>
      </c>
      <c r="R163" s="499" t="s">
        <v>553</v>
      </c>
      <c r="T163" s="239" t="s">
        <v>11</v>
      </c>
      <c r="U163" s="574" t="s">
        <v>12</v>
      </c>
      <c r="V163" s="999" t="s">
        <v>624</v>
      </c>
      <c r="W163" s="999"/>
      <c r="X163" s="999"/>
      <c r="Y163" s="999"/>
      <c r="Z163" s="999"/>
      <c r="AA163" s="999"/>
      <c r="AB163" s="999"/>
    </row>
    <row r="164" spans="1:28" ht="13.5" x14ac:dyDescent="0.25">
      <c r="A164" s="786">
        <f>PERSONAL!B15</f>
        <v>0</v>
      </c>
      <c r="B164" s="794"/>
      <c r="C164" s="639">
        <f>PERSONAL!D15</f>
        <v>0</v>
      </c>
      <c r="D164" s="786">
        <f>PERSONAL!E15</f>
        <v>0</v>
      </c>
      <c r="E164" s="794"/>
      <c r="F164" s="639">
        <f>PERSONAL!G15</f>
        <v>0</v>
      </c>
      <c r="G164" s="639">
        <f>PERSONAL!H15</f>
        <v>0</v>
      </c>
      <c r="H164" s="639">
        <f>PERSONAL!I15</f>
        <v>0</v>
      </c>
      <c r="I164" s="639">
        <f>PERSONAL!J15</f>
        <v>0</v>
      </c>
      <c r="J164" s="639">
        <f>PERSONAL!K15</f>
        <v>0</v>
      </c>
      <c r="K164" s="639">
        <f>PERSONAL!L15*T164</f>
        <v>0</v>
      </c>
      <c r="L164" s="639">
        <f>PERSONAL!M15*U164</f>
        <v>0</v>
      </c>
      <c r="M164" s="435">
        <f>SUM(K164:L164)</f>
        <v>0</v>
      </c>
      <c r="N164" s="500">
        <f>PERSONAL!N15</f>
        <v>0</v>
      </c>
      <c r="O164" s="436">
        <f t="shared" ref="O164:O195" si="6">I164*K164</f>
        <v>0</v>
      </c>
      <c r="P164" s="436">
        <f t="shared" ref="P164:P195" si="7">J164*L164</f>
        <v>0</v>
      </c>
      <c r="Q164" s="437">
        <f>SUM(O164:P164)</f>
        <v>0</v>
      </c>
      <c r="R164" s="501">
        <f>PERSONAL!Q15</f>
        <v>0</v>
      </c>
      <c r="T164" s="662">
        <v>1</v>
      </c>
      <c r="U164" s="663">
        <v>1</v>
      </c>
      <c r="V164" s="780"/>
      <c r="W164" s="955"/>
      <c r="X164" s="955"/>
      <c r="Y164" s="955"/>
      <c r="Z164" s="955"/>
      <c r="AA164" s="955"/>
      <c r="AB164" s="955"/>
    </row>
    <row r="165" spans="1:28" ht="13.5" x14ac:dyDescent="0.25">
      <c r="A165" s="786">
        <f>PERSONAL!B16</f>
        <v>0</v>
      </c>
      <c r="B165" s="794"/>
      <c r="C165" s="639">
        <f>PERSONAL!D16</f>
        <v>0</v>
      </c>
      <c r="D165" s="786">
        <f>PERSONAL!E16</f>
        <v>0</v>
      </c>
      <c r="E165" s="794"/>
      <c r="F165" s="639">
        <f>PERSONAL!G16</f>
        <v>0</v>
      </c>
      <c r="G165" s="639">
        <f>PERSONAL!H16</f>
        <v>0</v>
      </c>
      <c r="H165" s="639">
        <f>PERSONAL!I16</f>
        <v>0</v>
      </c>
      <c r="I165" s="639">
        <f>PERSONAL!J16</f>
        <v>0</v>
      </c>
      <c r="J165" s="639">
        <f>PERSONAL!K16</f>
        <v>0</v>
      </c>
      <c r="K165" s="639">
        <f>PERSONAL!L16*T165</f>
        <v>0</v>
      </c>
      <c r="L165" s="639">
        <f>PERSONAL!M16*U165</f>
        <v>0</v>
      </c>
      <c r="M165" s="435">
        <f t="shared" ref="M165:M228" si="8">SUM(K165:L165)</f>
        <v>0</v>
      </c>
      <c r="N165" s="500">
        <f>PERSONAL!N16</f>
        <v>0</v>
      </c>
      <c r="O165" s="436">
        <f t="shared" si="6"/>
        <v>0</v>
      </c>
      <c r="P165" s="436">
        <f t="shared" si="7"/>
        <v>0</v>
      </c>
      <c r="Q165" s="437">
        <f t="shared" ref="Q165:Q228" si="9">SUM(O165:P165)</f>
        <v>0</v>
      </c>
      <c r="R165" s="501">
        <f>PERSONAL!Q16</f>
        <v>0</v>
      </c>
      <c r="T165" s="664">
        <v>1</v>
      </c>
      <c r="U165" s="665">
        <v>1</v>
      </c>
      <c r="V165" s="780"/>
      <c r="W165" s="955"/>
      <c r="X165" s="955"/>
      <c r="Y165" s="955"/>
      <c r="Z165" s="955"/>
      <c r="AA165" s="955"/>
      <c r="AB165" s="955"/>
    </row>
    <row r="166" spans="1:28" ht="13.5" x14ac:dyDescent="0.25">
      <c r="A166" s="786">
        <f>PERSONAL!B17</f>
        <v>0</v>
      </c>
      <c r="B166" s="794"/>
      <c r="C166" s="639">
        <f>PERSONAL!D17</f>
        <v>0</v>
      </c>
      <c r="D166" s="786">
        <f>PERSONAL!E17</f>
        <v>0</v>
      </c>
      <c r="E166" s="794"/>
      <c r="F166" s="639">
        <f>PERSONAL!G17</f>
        <v>0</v>
      </c>
      <c r="G166" s="639">
        <f>PERSONAL!H17</f>
        <v>0</v>
      </c>
      <c r="H166" s="639">
        <f>PERSONAL!I17</f>
        <v>0</v>
      </c>
      <c r="I166" s="639">
        <f>PERSONAL!J17</f>
        <v>0</v>
      </c>
      <c r="J166" s="639">
        <f>PERSONAL!K17</f>
        <v>0</v>
      </c>
      <c r="K166" s="639">
        <f>PERSONAL!L17*T166</f>
        <v>0</v>
      </c>
      <c r="L166" s="639">
        <f>PERSONAL!M17*U166</f>
        <v>0</v>
      </c>
      <c r="M166" s="435">
        <f t="shared" si="8"/>
        <v>0</v>
      </c>
      <c r="N166" s="500">
        <f>PERSONAL!N17</f>
        <v>0</v>
      </c>
      <c r="O166" s="436">
        <f t="shared" si="6"/>
        <v>0</v>
      </c>
      <c r="P166" s="436">
        <f t="shared" si="7"/>
        <v>0</v>
      </c>
      <c r="Q166" s="437">
        <f t="shared" si="9"/>
        <v>0</v>
      </c>
      <c r="R166" s="501">
        <f>PERSONAL!Q17</f>
        <v>0</v>
      </c>
      <c r="T166" s="664">
        <v>1</v>
      </c>
      <c r="U166" s="665">
        <v>1</v>
      </c>
      <c r="V166" s="780"/>
      <c r="W166" s="955"/>
      <c r="X166" s="955"/>
      <c r="Y166" s="955"/>
      <c r="Z166" s="955"/>
      <c r="AA166" s="955"/>
      <c r="AB166" s="955"/>
    </row>
    <row r="167" spans="1:28" ht="13.5" x14ac:dyDescent="0.25">
      <c r="A167" s="786">
        <f>PERSONAL!B18</f>
        <v>0</v>
      </c>
      <c r="B167" s="794"/>
      <c r="C167" s="639">
        <f>PERSONAL!D18</f>
        <v>0</v>
      </c>
      <c r="D167" s="786">
        <f>PERSONAL!E18</f>
        <v>0</v>
      </c>
      <c r="E167" s="794"/>
      <c r="F167" s="639">
        <f>PERSONAL!G18</f>
        <v>0</v>
      </c>
      <c r="G167" s="639">
        <f>PERSONAL!H18</f>
        <v>0</v>
      </c>
      <c r="H167" s="639">
        <f>PERSONAL!I18</f>
        <v>0</v>
      </c>
      <c r="I167" s="639">
        <f>PERSONAL!J18</f>
        <v>0</v>
      </c>
      <c r="J167" s="639">
        <f>PERSONAL!K18</f>
        <v>0</v>
      </c>
      <c r="K167" s="639">
        <f>PERSONAL!L18*T167</f>
        <v>0</v>
      </c>
      <c r="L167" s="639">
        <f>PERSONAL!M18*U167</f>
        <v>0</v>
      </c>
      <c r="M167" s="435">
        <f t="shared" si="8"/>
        <v>0</v>
      </c>
      <c r="N167" s="500">
        <f>PERSONAL!N18</f>
        <v>0</v>
      </c>
      <c r="O167" s="436">
        <f t="shared" si="6"/>
        <v>0</v>
      </c>
      <c r="P167" s="436">
        <f t="shared" si="7"/>
        <v>0</v>
      </c>
      <c r="Q167" s="437">
        <f t="shared" si="9"/>
        <v>0</v>
      </c>
      <c r="R167" s="501">
        <f>PERSONAL!Q18</f>
        <v>0</v>
      </c>
      <c r="T167" s="664">
        <v>1</v>
      </c>
      <c r="U167" s="665">
        <v>1</v>
      </c>
      <c r="V167" s="780"/>
      <c r="W167" s="955"/>
      <c r="X167" s="955"/>
      <c r="Y167" s="955"/>
      <c r="Z167" s="955"/>
      <c r="AA167" s="955"/>
      <c r="AB167" s="955"/>
    </row>
    <row r="168" spans="1:28" ht="13.5" x14ac:dyDescent="0.25">
      <c r="A168" s="786">
        <f>PERSONAL!B19</f>
        <v>0</v>
      </c>
      <c r="B168" s="794"/>
      <c r="C168" s="639">
        <f>PERSONAL!D19</f>
        <v>0</v>
      </c>
      <c r="D168" s="786">
        <f>PERSONAL!E19</f>
        <v>0</v>
      </c>
      <c r="E168" s="794"/>
      <c r="F168" s="639">
        <f>PERSONAL!G19</f>
        <v>0</v>
      </c>
      <c r="G168" s="639">
        <f>PERSONAL!H19</f>
        <v>0</v>
      </c>
      <c r="H168" s="639">
        <f>PERSONAL!I19</f>
        <v>0</v>
      </c>
      <c r="I168" s="639">
        <f>PERSONAL!J19</f>
        <v>0</v>
      </c>
      <c r="J168" s="639">
        <f>PERSONAL!K19</f>
        <v>0</v>
      </c>
      <c r="K168" s="639">
        <f>PERSONAL!L19*T168</f>
        <v>0</v>
      </c>
      <c r="L168" s="639">
        <f>PERSONAL!M19*U168</f>
        <v>0</v>
      </c>
      <c r="M168" s="435">
        <f t="shared" si="8"/>
        <v>0</v>
      </c>
      <c r="N168" s="500">
        <f>PERSONAL!N19</f>
        <v>0</v>
      </c>
      <c r="O168" s="436">
        <f t="shared" si="6"/>
        <v>0</v>
      </c>
      <c r="P168" s="436">
        <f t="shared" si="7"/>
        <v>0</v>
      </c>
      <c r="Q168" s="437">
        <f t="shared" si="9"/>
        <v>0</v>
      </c>
      <c r="R168" s="501">
        <f>PERSONAL!Q19</f>
        <v>0</v>
      </c>
      <c r="T168" s="664">
        <v>1</v>
      </c>
      <c r="U168" s="665">
        <v>1</v>
      </c>
      <c r="V168" s="780"/>
      <c r="W168" s="955"/>
      <c r="X168" s="955"/>
      <c r="Y168" s="955"/>
      <c r="Z168" s="955"/>
      <c r="AA168" s="955"/>
      <c r="AB168" s="955"/>
    </row>
    <row r="169" spans="1:28" ht="13.5" x14ac:dyDescent="0.25">
      <c r="A169" s="786">
        <f>PERSONAL!B20</f>
        <v>0</v>
      </c>
      <c r="B169" s="794"/>
      <c r="C169" s="639">
        <f>PERSONAL!D20</f>
        <v>0</v>
      </c>
      <c r="D169" s="786">
        <f>PERSONAL!E20</f>
        <v>0</v>
      </c>
      <c r="E169" s="794"/>
      <c r="F169" s="639">
        <f>PERSONAL!G20</f>
        <v>0</v>
      </c>
      <c r="G169" s="639">
        <f>PERSONAL!H20</f>
        <v>0</v>
      </c>
      <c r="H169" s="639">
        <f>PERSONAL!I20</f>
        <v>0</v>
      </c>
      <c r="I169" s="639">
        <f>PERSONAL!J20</f>
        <v>0</v>
      </c>
      <c r="J169" s="639">
        <f>PERSONAL!K20</f>
        <v>0</v>
      </c>
      <c r="K169" s="639">
        <f>PERSONAL!L20*T169</f>
        <v>0</v>
      </c>
      <c r="L169" s="639">
        <f>PERSONAL!M20*U169</f>
        <v>0</v>
      </c>
      <c r="M169" s="435">
        <f t="shared" si="8"/>
        <v>0</v>
      </c>
      <c r="N169" s="500">
        <f>PERSONAL!N20</f>
        <v>0</v>
      </c>
      <c r="O169" s="436">
        <f t="shared" si="6"/>
        <v>0</v>
      </c>
      <c r="P169" s="436">
        <f t="shared" si="7"/>
        <v>0</v>
      </c>
      <c r="Q169" s="437">
        <f t="shared" si="9"/>
        <v>0</v>
      </c>
      <c r="R169" s="501">
        <f>PERSONAL!Q20</f>
        <v>0</v>
      </c>
      <c r="T169" s="664">
        <v>1</v>
      </c>
      <c r="U169" s="665">
        <v>1</v>
      </c>
      <c r="V169" s="780"/>
      <c r="W169" s="955"/>
      <c r="X169" s="955"/>
      <c r="Y169" s="955"/>
      <c r="Z169" s="955"/>
      <c r="AA169" s="955"/>
      <c r="AB169" s="955"/>
    </row>
    <row r="170" spans="1:28" ht="13.5" x14ac:dyDescent="0.25">
      <c r="A170" s="786">
        <f>PERSONAL!B21</f>
        <v>0</v>
      </c>
      <c r="B170" s="794"/>
      <c r="C170" s="639">
        <f>PERSONAL!D21</f>
        <v>0</v>
      </c>
      <c r="D170" s="786">
        <f>PERSONAL!E21</f>
        <v>0</v>
      </c>
      <c r="E170" s="794"/>
      <c r="F170" s="639">
        <f>PERSONAL!G21</f>
        <v>0</v>
      </c>
      <c r="G170" s="639">
        <f>PERSONAL!H21</f>
        <v>0</v>
      </c>
      <c r="H170" s="639">
        <f>PERSONAL!I21</f>
        <v>0</v>
      </c>
      <c r="I170" s="639">
        <f>PERSONAL!J21</f>
        <v>0</v>
      </c>
      <c r="J170" s="639">
        <f>PERSONAL!K21</f>
        <v>0</v>
      </c>
      <c r="K170" s="639">
        <f>PERSONAL!L21*T170</f>
        <v>0</v>
      </c>
      <c r="L170" s="639">
        <f>PERSONAL!M21*U170</f>
        <v>0</v>
      </c>
      <c r="M170" s="435">
        <f t="shared" si="8"/>
        <v>0</v>
      </c>
      <c r="N170" s="500">
        <f>PERSONAL!N21</f>
        <v>0</v>
      </c>
      <c r="O170" s="436">
        <f t="shared" si="6"/>
        <v>0</v>
      </c>
      <c r="P170" s="436">
        <f t="shared" si="7"/>
        <v>0</v>
      </c>
      <c r="Q170" s="437">
        <f t="shared" si="9"/>
        <v>0</v>
      </c>
      <c r="R170" s="501">
        <f>PERSONAL!Q21</f>
        <v>0</v>
      </c>
      <c r="T170" s="664">
        <v>1</v>
      </c>
      <c r="U170" s="665">
        <v>1</v>
      </c>
      <c r="V170" s="780"/>
      <c r="W170" s="955"/>
      <c r="X170" s="955"/>
      <c r="Y170" s="955"/>
      <c r="Z170" s="955"/>
      <c r="AA170" s="955"/>
      <c r="AB170" s="955"/>
    </row>
    <row r="171" spans="1:28" ht="13.5" x14ac:dyDescent="0.25">
      <c r="A171" s="786">
        <f>PERSONAL!B22</f>
        <v>0</v>
      </c>
      <c r="B171" s="794"/>
      <c r="C171" s="639">
        <f>PERSONAL!D22</f>
        <v>0</v>
      </c>
      <c r="D171" s="786">
        <f>PERSONAL!E22</f>
        <v>0</v>
      </c>
      <c r="E171" s="794"/>
      <c r="F171" s="639">
        <f>PERSONAL!G22</f>
        <v>0</v>
      </c>
      <c r="G171" s="639">
        <f>PERSONAL!H22</f>
        <v>0</v>
      </c>
      <c r="H171" s="639">
        <f>PERSONAL!I22</f>
        <v>0</v>
      </c>
      <c r="I171" s="639">
        <f>PERSONAL!J22</f>
        <v>0</v>
      </c>
      <c r="J171" s="639">
        <f>PERSONAL!K22</f>
        <v>0</v>
      </c>
      <c r="K171" s="639">
        <f>PERSONAL!L22*T171</f>
        <v>0</v>
      </c>
      <c r="L171" s="639">
        <f>PERSONAL!M22*U171</f>
        <v>0</v>
      </c>
      <c r="M171" s="435">
        <f t="shared" si="8"/>
        <v>0</v>
      </c>
      <c r="N171" s="500">
        <f>PERSONAL!N22</f>
        <v>0</v>
      </c>
      <c r="O171" s="436">
        <f t="shared" si="6"/>
        <v>0</v>
      </c>
      <c r="P171" s="436">
        <f t="shared" si="7"/>
        <v>0</v>
      </c>
      <c r="Q171" s="437">
        <f t="shared" si="9"/>
        <v>0</v>
      </c>
      <c r="R171" s="501">
        <f>PERSONAL!Q22</f>
        <v>0</v>
      </c>
      <c r="T171" s="664">
        <v>1</v>
      </c>
      <c r="U171" s="665">
        <v>1</v>
      </c>
      <c r="V171" s="780"/>
      <c r="W171" s="955"/>
      <c r="X171" s="955"/>
      <c r="Y171" s="955"/>
      <c r="Z171" s="955"/>
      <c r="AA171" s="955"/>
      <c r="AB171" s="955"/>
    </row>
    <row r="172" spans="1:28" ht="13.5" x14ac:dyDescent="0.25">
      <c r="A172" s="786">
        <f>PERSONAL!B23</f>
        <v>0</v>
      </c>
      <c r="B172" s="794"/>
      <c r="C172" s="639">
        <f>PERSONAL!D23</f>
        <v>0</v>
      </c>
      <c r="D172" s="786">
        <f>PERSONAL!E23</f>
        <v>0</v>
      </c>
      <c r="E172" s="794"/>
      <c r="F172" s="639">
        <f>PERSONAL!G23</f>
        <v>0</v>
      </c>
      <c r="G172" s="639">
        <f>PERSONAL!H23</f>
        <v>0</v>
      </c>
      <c r="H172" s="639">
        <f>PERSONAL!I23</f>
        <v>0</v>
      </c>
      <c r="I172" s="639">
        <f>PERSONAL!J23</f>
        <v>0</v>
      </c>
      <c r="J172" s="639">
        <f>PERSONAL!K23</f>
        <v>0</v>
      </c>
      <c r="K172" s="639">
        <f>PERSONAL!L23*T172</f>
        <v>0</v>
      </c>
      <c r="L172" s="639">
        <f>PERSONAL!M23*U172</f>
        <v>0</v>
      </c>
      <c r="M172" s="435">
        <f t="shared" si="8"/>
        <v>0</v>
      </c>
      <c r="N172" s="500">
        <f>PERSONAL!N23</f>
        <v>0</v>
      </c>
      <c r="O172" s="436">
        <f t="shared" si="6"/>
        <v>0</v>
      </c>
      <c r="P172" s="436">
        <f t="shared" si="7"/>
        <v>0</v>
      </c>
      <c r="Q172" s="437">
        <f t="shared" si="9"/>
        <v>0</v>
      </c>
      <c r="R172" s="501">
        <f>PERSONAL!Q23</f>
        <v>0</v>
      </c>
      <c r="T172" s="664">
        <v>1</v>
      </c>
      <c r="U172" s="665">
        <v>1</v>
      </c>
      <c r="V172" s="780"/>
      <c r="W172" s="955"/>
      <c r="X172" s="955"/>
      <c r="Y172" s="955"/>
      <c r="Z172" s="955"/>
      <c r="AA172" s="955"/>
      <c r="AB172" s="955"/>
    </row>
    <row r="173" spans="1:28" ht="13.5" x14ac:dyDescent="0.25">
      <c r="A173" s="786">
        <f>PERSONAL!B24</f>
        <v>0</v>
      </c>
      <c r="B173" s="794"/>
      <c r="C173" s="639">
        <f>PERSONAL!D24</f>
        <v>0</v>
      </c>
      <c r="D173" s="786">
        <f>PERSONAL!E24</f>
        <v>0</v>
      </c>
      <c r="E173" s="794"/>
      <c r="F173" s="639">
        <f>PERSONAL!G24</f>
        <v>0</v>
      </c>
      <c r="G173" s="639">
        <f>PERSONAL!H24</f>
        <v>0</v>
      </c>
      <c r="H173" s="639">
        <f>PERSONAL!I24</f>
        <v>0</v>
      </c>
      <c r="I173" s="639">
        <f>PERSONAL!J24</f>
        <v>0</v>
      </c>
      <c r="J173" s="639">
        <f>PERSONAL!K24</f>
        <v>0</v>
      </c>
      <c r="K173" s="639">
        <f>PERSONAL!L24*T173</f>
        <v>0</v>
      </c>
      <c r="L173" s="639">
        <f>PERSONAL!M24*U173</f>
        <v>0</v>
      </c>
      <c r="M173" s="435">
        <f t="shared" si="8"/>
        <v>0</v>
      </c>
      <c r="N173" s="500">
        <f>PERSONAL!N24</f>
        <v>0</v>
      </c>
      <c r="O173" s="436">
        <f t="shared" si="6"/>
        <v>0</v>
      </c>
      <c r="P173" s="436">
        <f t="shared" si="7"/>
        <v>0</v>
      </c>
      <c r="Q173" s="437">
        <f t="shared" si="9"/>
        <v>0</v>
      </c>
      <c r="R173" s="501">
        <f>PERSONAL!Q24</f>
        <v>0</v>
      </c>
      <c r="T173" s="664">
        <v>1</v>
      </c>
      <c r="U173" s="665">
        <v>1</v>
      </c>
      <c r="V173" s="780"/>
      <c r="W173" s="955"/>
      <c r="X173" s="955"/>
      <c r="Y173" s="955"/>
      <c r="Z173" s="955"/>
      <c r="AA173" s="955"/>
      <c r="AB173" s="955"/>
    </row>
    <row r="174" spans="1:28" ht="13.5" x14ac:dyDescent="0.25">
      <c r="A174" s="786">
        <f>PERSONAL!B25</f>
        <v>0</v>
      </c>
      <c r="B174" s="794"/>
      <c r="C174" s="639">
        <f>PERSONAL!D25</f>
        <v>0</v>
      </c>
      <c r="D174" s="786">
        <f>PERSONAL!E25</f>
        <v>0</v>
      </c>
      <c r="E174" s="794"/>
      <c r="F174" s="639">
        <f>PERSONAL!G25</f>
        <v>0</v>
      </c>
      <c r="G174" s="639">
        <f>PERSONAL!H25</f>
        <v>0</v>
      </c>
      <c r="H174" s="639">
        <f>PERSONAL!I25</f>
        <v>0</v>
      </c>
      <c r="I174" s="639">
        <f>PERSONAL!J25</f>
        <v>0</v>
      </c>
      <c r="J174" s="639">
        <f>PERSONAL!K25</f>
        <v>0</v>
      </c>
      <c r="K174" s="639">
        <f>PERSONAL!L25*T174</f>
        <v>0</v>
      </c>
      <c r="L174" s="639">
        <f>PERSONAL!M25*U174</f>
        <v>0</v>
      </c>
      <c r="M174" s="435">
        <f t="shared" si="8"/>
        <v>0</v>
      </c>
      <c r="N174" s="500">
        <f>PERSONAL!N25</f>
        <v>0</v>
      </c>
      <c r="O174" s="436">
        <f t="shared" si="6"/>
        <v>0</v>
      </c>
      <c r="P174" s="436">
        <f t="shared" si="7"/>
        <v>0</v>
      </c>
      <c r="Q174" s="437">
        <f t="shared" si="9"/>
        <v>0</v>
      </c>
      <c r="R174" s="501">
        <f>PERSONAL!Q25</f>
        <v>0</v>
      </c>
      <c r="T174" s="664">
        <v>1</v>
      </c>
      <c r="U174" s="665">
        <v>1</v>
      </c>
      <c r="V174" s="780"/>
      <c r="W174" s="955"/>
      <c r="X174" s="955"/>
      <c r="Y174" s="955"/>
      <c r="Z174" s="955"/>
      <c r="AA174" s="955"/>
      <c r="AB174" s="955"/>
    </row>
    <row r="175" spans="1:28" ht="13.5" x14ac:dyDescent="0.25">
      <c r="A175" s="786">
        <f>PERSONAL!B26</f>
        <v>0</v>
      </c>
      <c r="B175" s="794"/>
      <c r="C175" s="639">
        <f>PERSONAL!D26</f>
        <v>0</v>
      </c>
      <c r="D175" s="786">
        <f>PERSONAL!E26</f>
        <v>0</v>
      </c>
      <c r="E175" s="794"/>
      <c r="F175" s="639">
        <f>PERSONAL!G26</f>
        <v>0</v>
      </c>
      <c r="G175" s="639">
        <f>PERSONAL!H26</f>
        <v>0</v>
      </c>
      <c r="H175" s="639">
        <f>PERSONAL!I26</f>
        <v>0</v>
      </c>
      <c r="I175" s="639">
        <f>PERSONAL!J26</f>
        <v>0</v>
      </c>
      <c r="J175" s="639">
        <f>PERSONAL!K26</f>
        <v>0</v>
      </c>
      <c r="K175" s="639">
        <f>PERSONAL!L26*T175</f>
        <v>0</v>
      </c>
      <c r="L175" s="639">
        <f>PERSONAL!M26*U175</f>
        <v>0</v>
      </c>
      <c r="M175" s="435">
        <f t="shared" si="8"/>
        <v>0</v>
      </c>
      <c r="N175" s="500">
        <f>PERSONAL!N26</f>
        <v>0</v>
      </c>
      <c r="O175" s="436">
        <f t="shared" si="6"/>
        <v>0</v>
      </c>
      <c r="P175" s="436">
        <f t="shared" si="7"/>
        <v>0</v>
      </c>
      <c r="Q175" s="437">
        <f t="shared" si="9"/>
        <v>0</v>
      </c>
      <c r="R175" s="501">
        <f>PERSONAL!Q26</f>
        <v>0</v>
      </c>
      <c r="T175" s="664">
        <v>1</v>
      </c>
      <c r="U175" s="665">
        <v>1</v>
      </c>
      <c r="V175" s="780"/>
      <c r="W175" s="955"/>
      <c r="X175" s="955"/>
      <c r="Y175" s="955"/>
      <c r="Z175" s="955"/>
      <c r="AA175" s="955"/>
      <c r="AB175" s="955"/>
    </row>
    <row r="176" spans="1:28" ht="13.5" x14ac:dyDescent="0.25">
      <c r="A176" s="786">
        <f>PERSONAL!B27</f>
        <v>0</v>
      </c>
      <c r="B176" s="794"/>
      <c r="C176" s="639">
        <f>PERSONAL!D27</f>
        <v>0</v>
      </c>
      <c r="D176" s="786">
        <f>PERSONAL!E27</f>
        <v>0</v>
      </c>
      <c r="E176" s="794"/>
      <c r="F176" s="639">
        <f>PERSONAL!G27</f>
        <v>0</v>
      </c>
      <c r="G176" s="639">
        <f>PERSONAL!H27</f>
        <v>0</v>
      </c>
      <c r="H176" s="639">
        <f>PERSONAL!I27</f>
        <v>0</v>
      </c>
      <c r="I176" s="639">
        <f>PERSONAL!J27</f>
        <v>0</v>
      </c>
      <c r="J176" s="639">
        <f>PERSONAL!K27</f>
        <v>0</v>
      </c>
      <c r="K176" s="639">
        <f>PERSONAL!L27*T176</f>
        <v>0</v>
      </c>
      <c r="L176" s="639">
        <f>PERSONAL!M27*U176</f>
        <v>0</v>
      </c>
      <c r="M176" s="435">
        <f t="shared" si="8"/>
        <v>0</v>
      </c>
      <c r="N176" s="500">
        <f>PERSONAL!N27</f>
        <v>0</v>
      </c>
      <c r="O176" s="436">
        <f t="shared" si="6"/>
        <v>0</v>
      </c>
      <c r="P176" s="436">
        <f t="shared" si="7"/>
        <v>0</v>
      </c>
      <c r="Q176" s="437">
        <f t="shared" si="9"/>
        <v>0</v>
      </c>
      <c r="R176" s="501">
        <f>PERSONAL!Q27</f>
        <v>0</v>
      </c>
      <c r="T176" s="664">
        <v>1</v>
      </c>
      <c r="U176" s="665">
        <v>1</v>
      </c>
      <c r="V176" s="780"/>
      <c r="W176" s="955"/>
      <c r="X176" s="955"/>
      <c r="Y176" s="955"/>
      <c r="Z176" s="955"/>
      <c r="AA176" s="955"/>
      <c r="AB176" s="955"/>
    </row>
    <row r="177" spans="1:28" ht="13.5" x14ac:dyDescent="0.25">
      <c r="A177" s="786">
        <f>PERSONAL!B28</f>
        <v>0</v>
      </c>
      <c r="B177" s="794"/>
      <c r="C177" s="639">
        <f>PERSONAL!D28</f>
        <v>0</v>
      </c>
      <c r="D177" s="786">
        <f>PERSONAL!E28</f>
        <v>0</v>
      </c>
      <c r="E177" s="794"/>
      <c r="F177" s="639">
        <f>PERSONAL!G28</f>
        <v>0</v>
      </c>
      <c r="G177" s="639">
        <f>PERSONAL!H28</f>
        <v>0</v>
      </c>
      <c r="H177" s="639">
        <f>PERSONAL!I28</f>
        <v>0</v>
      </c>
      <c r="I177" s="639">
        <f>PERSONAL!J28</f>
        <v>0</v>
      </c>
      <c r="J177" s="639">
        <f>PERSONAL!K28</f>
        <v>0</v>
      </c>
      <c r="K177" s="639">
        <f>PERSONAL!L28*T177</f>
        <v>0</v>
      </c>
      <c r="L177" s="639">
        <f>PERSONAL!M28*U177</f>
        <v>0</v>
      </c>
      <c r="M177" s="435">
        <f t="shared" si="8"/>
        <v>0</v>
      </c>
      <c r="N177" s="500">
        <f>PERSONAL!N28</f>
        <v>0</v>
      </c>
      <c r="O177" s="436">
        <f t="shared" si="6"/>
        <v>0</v>
      </c>
      <c r="P177" s="436">
        <f t="shared" si="7"/>
        <v>0</v>
      </c>
      <c r="Q177" s="437">
        <f t="shared" si="9"/>
        <v>0</v>
      </c>
      <c r="R177" s="501">
        <f>PERSONAL!Q28</f>
        <v>0</v>
      </c>
      <c r="T177" s="664">
        <v>1</v>
      </c>
      <c r="U177" s="665">
        <v>1</v>
      </c>
      <c r="V177" s="780"/>
      <c r="W177" s="955"/>
      <c r="X177" s="955"/>
      <c r="Y177" s="955"/>
      <c r="Z177" s="955"/>
      <c r="AA177" s="955"/>
      <c r="AB177" s="955"/>
    </row>
    <row r="178" spans="1:28" ht="13.5" x14ac:dyDescent="0.25">
      <c r="A178" s="786">
        <f>PERSONAL!B29</f>
        <v>0</v>
      </c>
      <c r="B178" s="794"/>
      <c r="C178" s="639">
        <f>PERSONAL!D29</f>
        <v>0</v>
      </c>
      <c r="D178" s="786">
        <f>PERSONAL!E29</f>
        <v>0</v>
      </c>
      <c r="E178" s="794"/>
      <c r="F178" s="639">
        <f>PERSONAL!G29</f>
        <v>0</v>
      </c>
      <c r="G178" s="639">
        <f>PERSONAL!H29</f>
        <v>0</v>
      </c>
      <c r="H178" s="639">
        <f>PERSONAL!I29</f>
        <v>0</v>
      </c>
      <c r="I178" s="639">
        <f>PERSONAL!J29</f>
        <v>0</v>
      </c>
      <c r="J178" s="639">
        <f>PERSONAL!K29</f>
        <v>0</v>
      </c>
      <c r="K178" s="639">
        <f>PERSONAL!L29*T178</f>
        <v>0</v>
      </c>
      <c r="L178" s="639">
        <f>PERSONAL!M29*U178</f>
        <v>0</v>
      </c>
      <c r="M178" s="435">
        <f t="shared" si="8"/>
        <v>0</v>
      </c>
      <c r="N178" s="500">
        <f>PERSONAL!N29</f>
        <v>0</v>
      </c>
      <c r="O178" s="436">
        <f t="shared" si="6"/>
        <v>0</v>
      </c>
      <c r="P178" s="436">
        <f t="shared" si="7"/>
        <v>0</v>
      </c>
      <c r="Q178" s="437">
        <f t="shared" si="9"/>
        <v>0</v>
      </c>
      <c r="R178" s="501">
        <f>PERSONAL!Q29</f>
        <v>0</v>
      </c>
      <c r="T178" s="664">
        <v>1</v>
      </c>
      <c r="U178" s="665">
        <v>1</v>
      </c>
      <c r="V178" s="780"/>
      <c r="W178" s="955"/>
      <c r="X178" s="955"/>
      <c r="Y178" s="955"/>
      <c r="Z178" s="955"/>
      <c r="AA178" s="955"/>
      <c r="AB178" s="955"/>
    </row>
    <row r="179" spans="1:28" ht="13.5" x14ac:dyDescent="0.25">
      <c r="A179" s="786">
        <f>PERSONAL!B30</f>
        <v>0</v>
      </c>
      <c r="B179" s="794"/>
      <c r="C179" s="639">
        <f>PERSONAL!D30</f>
        <v>0</v>
      </c>
      <c r="D179" s="786">
        <f>PERSONAL!E30</f>
        <v>0</v>
      </c>
      <c r="E179" s="794"/>
      <c r="F179" s="639">
        <f>PERSONAL!G30</f>
        <v>0</v>
      </c>
      <c r="G179" s="639">
        <f>PERSONAL!H30</f>
        <v>0</v>
      </c>
      <c r="H179" s="639">
        <f>PERSONAL!I30</f>
        <v>0</v>
      </c>
      <c r="I179" s="639">
        <f>PERSONAL!J30</f>
        <v>0</v>
      </c>
      <c r="J179" s="639">
        <f>PERSONAL!K30</f>
        <v>0</v>
      </c>
      <c r="K179" s="639">
        <f>PERSONAL!L30*T179</f>
        <v>0</v>
      </c>
      <c r="L179" s="639">
        <f>PERSONAL!M30*U179</f>
        <v>0</v>
      </c>
      <c r="M179" s="435">
        <f t="shared" si="8"/>
        <v>0</v>
      </c>
      <c r="N179" s="500">
        <f>PERSONAL!N30</f>
        <v>0</v>
      </c>
      <c r="O179" s="436">
        <f t="shared" si="6"/>
        <v>0</v>
      </c>
      <c r="P179" s="436">
        <f t="shared" si="7"/>
        <v>0</v>
      </c>
      <c r="Q179" s="437">
        <f t="shared" si="9"/>
        <v>0</v>
      </c>
      <c r="R179" s="501">
        <f>PERSONAL!Q30</f>
        <v>0</v>
      </c>
      <c r="T179" s="664">
        <v>1</v>
      </c>
      <c r="U179" s="665">
        <v>1</v>
      </c>
      <c r="V179" s="780"/>
      <c r="W179" s="955"/>
      <c r="X179" s="955"/>
      <c r="Y179" s="955"/>
      <c r="Z179" s="955"/>
      <c r="AA179" s="955"/>
      <c r="AB179" s="955"/>
    </row>
    <row r="180" spans="1:28" ht="13.5" x14ac:dyDescent="0.25">
      <c r="A180" s="786">
        <f>PERSONAL!B31</f>
        <v>0</v>
      </c>
      <c r="B180" s="794"/>
      <c r="C180" s="639">
        <f>PERSONAL!D31</f>
        <v>0</v>
      </c>
      <c r="D180" s="786">
        <f>PERSONAL!E31</f>
        <v>0</v>
      </c>
      <c r="E180" s="794"/>
      <c r="F180" s="639">
        <f>PERSONAL!G31</f>
        <v>0</v>
      </c>
      <c r="G180" s="639">
        <f>PERSONAL!H31</f>
        <v>0</v>
      </c>
      <c r="H180" s="639">
        <f>PERSONAL!I31</f>
        <v>0</v>
      </c>
      <c r="I180" s="639">
        <f>PERSONAL!J31</f>
        <v>0</v>
      </c>
      <c r="J180" s="639">
        <f>PERSONAL!K31</f>
        <v>0</v>
      </c>
      <c r="K180" s="639">
        <f>PERSONAL!L31*T180</f>
        <v>0</v>
      </c>
      <c r="L180" s="639">
        <f>PERSONAL!M31*U180</f>
        <v>0</v>
      </c>
      <c r="M180" s="435">
        <f t="shared" si="8"/>
        <v>0</v>
      </c>
      <c r="N180" s="500">
        <f>PERSONAL!N31</f>
        <v>0</v>
      </c>
      <c r="O180" s="436">
        <f t="shared" si="6"/>
        <v>0</v>
      </c>
      <c r="P180" s="436">
        <f t="shared" si="7"/>
        <v>0</v>
      </c>
      <c r="Q180" s="437">
        <f t="shared" si="9"/>
        <v>0</v>
      </c>
      <c r="R180" s="501">
        <f>PERSONAL!Q31</f>
        <v>0</v>
      </c>
      <c r="T180" s="664">
        <v>1</v>
      </c>
      <c r="U180" s="665">
        <v>1</v>
      </c>
      <c r="V180" s="780"/>
      <c r="W180" s="955"/>
      <c r="X180" s="955"/>
      <c r="Y180" s="955"/>
      <c r="Z180" s="955"/>
      <c r="AA180" s="955"/>
      <c r="AB180" s="955"/>
    </row>
    <row r="181" spans="1:28" ht="13.5" x14ac:dyDescent="0.25">
      <c r="A181" s="786">
        <f>PERSONAL!B32</f>
        <v>0</v>
      </c>
      <c r="B181" s="794"/>
      <c r="C181" s="639">
        <f>PERSONAL!D32</f>
        <v>0</v>
      </c>
      <c r="D181" s="786">
        <f>PERSONAL!E32</f>
        <v>0</v>
      </c>
      <c r="E181" s="794"/>
      <c r="F181" s="639">
        <f>PERSONAL!G32</f>
        <v>0</v>
      </c>
      <c r="G181" s="639">
        <f>PERSONAL!H32</f>
        <v>0</v>
      </c>
      <c r="H181" s="639">
        <f>PERSONAL!I32</f>
        <v>0</v>
      </c>
      <c r="I181" s="639">
        <f>PERSONAL!J32</f>
        <v>0</v>
      </c>
      <c r="J181" s="639">
        <f>PERSONAL!K32</f>
        <v>0</v>
      </c>
      <c r="K181" s="639">
        <f>PERSONAL!L32*T181</f>
        <v>0</v>
      </c>
      <c r="L181" s="639">
        <f>PERSONAL!M32*U181</f>
        <v>0</v>
      </c>
      <c r="M181" s="435">
        <f t="shared" si="8"/>
        <v>0</v>
      </c>
      <c r="N181" s="500">
        <f>PERSONAL!N32</f>
        <v>0</v>
      </c>
      <c r="O181" s="436">
        <f t="shared" si="6"/>
        <v>0</v>
      </c>
      <c r="P181" s="436">
        <f t="shared" si="7"/>
        <v>0</v>
      </c>
      <c r="Q181" s="437">
        <f t="shared" si="9"/>
        <v>0</v>
      </c>
      <c r="R181" s="501">
        <f>PERSONAL!Q32</f>
        <v>0</v>
      </c>
      <c r="T181" s="664">
        <v>1</v>
      </c>
      <c r="U181" s="665">
        <v>1</v>
      </c>
      <c r="V181" s="780"/>
      <c r="W181" s="955"/>
      <c r="X181" s="955"/>
      <c r="Y181" s="955"/>
      <c r="Z181" s="955"/>
      <c r="AA181" s="955"/>
      <c r="AB181" s="955"/>
    </row>
    <row r="182" spans="1:28" ht="13.5" x14ac:dyDescent="0.25">
      <c r="A182" s="786">
        <f>PERSONAL!B33</f>
        <v>0</v>
      </c>
      <c r="B182" s="794"/>
      <c r="C182" s="639">
        <f>PERSONAL!D33</f>
        <v>0</v>
      </c>
      <c r="D182" s="786">
        <f>PERSONAL!E33</f>
        <v>0</v>
      </c>
      <c r="E182" s="794"/>
      <c r="F182" s="639">
        <f>PERSONAL!G33</f>
        <v>0</v>
      </c>
      <c r="G182" s="639">
        <f>PERSONAL!H33</f>
        <v>0</v>
      </c>
      <c r="H182" s="639">
        <f>PERSONAL!I33</f>
        <v>0</v>
      </c>
      <c r="I182" s="639">
        <f>PERSONAL!J33</f>
        <v>0</v>
      </c>
      <c r="J182" s="639">
        <f>PERSONAL!K33</f>
        <v>0</v>
      </c>
      <c r="K182" s="639">
        <f>PERSONAL!L33*T182</f>
        <v>0</v>
      </c>
      <c r="L182" s="639">
        <f>PERSONAL!M33*U182</f>
        <v>0</v>
      </c>
      <c r="M182" s="435">
        <f t="shared" si="8"/>
        <v>0</v>
      </c>
      <c r="N182" s="500">
        <f>PERSONAL!N33</f>
        <v>0</v>
      </c>
      <c r="O182" s="436">
        <f t="shared" si="6"/>
        <v>0</v>
      </c>
      <c r="P182" s="436">
        <f t="shared" si="7"/>
        <v>0</v>
      </c>
      <c r="Q182" s="437">
        <f t="shared" si="9"/>
        <v>0</v>
      </c>
      <c r="R182" s="501">
        <f>PERSONAL!Q33</f>
        <v>0</v>
      </c>
      <c r="T182" s="664">
        <v>1</v>
      </c>
      <c r="U182" s="665">
        <v>1</v>
      </c>
      <c r="V182" s="780"/>
      <c r="W182" s="955"/>
      <c r="X182" s="955"/>
      <c r="Y182" s="955"/>
      <c r="Z182" s="955"/>
      <c r="AA182" s="955"/>
      <c r="AB182" s="955"/>
    </row>
    <row r="183" spans="1:28" ht="13.5" x14ac:dyDescent="0.25">
      <c r="A183" s="786">
        <f>PERSONAL!B34</f>
        <v>0</v>
      </c>
      <c r="B183" s="794"/>
      <c r="C183" s="639">
        <f>PERSONAL!D34</f>
        <v>0</v>
      </c>
      <c r="D183" s="786">
        <f>PERSONAL!E34</f>
        <v>0</v>
      </c>
      <c r="E183" s="794"/>
      <c r="F183" s="639">
        <f>PERSONAL!G34</f>
        <v>0</v>
      </c>
      <c r="G183" s="639">
        <f>PERSONAL!H34</f>
        <v>0</v>
      </c>
      <c r="H183" s="639">
        <f>PERSONAL!I34</f>
        <v>0</v>
      </c>
      <c r="I183" s="639">
        <f>PERSONAL!J34</f>
        <v>0</v>
      </c>
      <c r="J183" s="639">
        <f>PERSONAL!K34</f>
        <v>0</v>
      </c>
      <c r="K183" s="639">
        <f>PERSONAL!L34*T183</f>
        <v>0</v>
      </c>
      <c r="L183" s="639">
        <f>PERSONAL!M34*U183</f>
        <v>0</v>
      </c>
      <c r="M183" s="435">
        <f t="shared" si="8"/>
        <v>0</v>
      </c>
      <c r="N183" s="500">
        <f>PERSONAL!N34</f>
        <v>0</v>
      </c>
      <c r="O183" s="436">
        <f t="shared" si="6"/>
        <v>0</v>
      </c>
      <c r="P183" s="436">
        <f t="shared" si="7"/>
        <v>0</v>
      </c>
      <c r="Q183" s="437">
        <f t="shared" si="9"/>
        <v>0</v>
      </c>
      <c r="R183" s="501">
        <f>PERSONAL!Q34</f>
        <v>0</v>
      </c>
      <c r="T183" s="664">
        <v>1</v>
      </c>
      <c r="U183" s="665">
        <v>1</v>
      </c>
      <c r="V183" s="780"/>
      <c r="W183" s="955"/>
      <c r="X183" s="955"/>
      <c r="Y183" s="955"/>
      <c r="Z183" s="955"/>
      <c r="AA183" s="955"/>
      <c r="AB183" s="955"/>
    </row>
    <row r="184" spans="1:28" ht="13.5" x14ac:dyDescent="0.25">
      <c r="A184" s="786">
        <f>PERSONAL!B35</f>
        <v>0</v>
      </c>
      <c r="B184" s="794"/>
      <c r="C184" s="639">
        <f>PERSONAL!D35</f>
        <v>0</v>
      </c>
      <c r="D184" s="786">
        <f>PERSONAL!E35</f>
        <v>0</v>
      </c>
      <c r="E184" s="794"/>
      <c r="F184" s="639">
        <f>PERSONAL!G35</f>
        <v>0</v>
      </c>
      <c r="G184" s="639">
        <f>PERSONAL!H35</f>
        <v>0</v>
      </c>
      <c r="H184" s="639">
        <f>PERSONAL!I35</f>
        <v>0</v>
      </c>
      <c r="I184" s="639">
        <f>PERSONAL!J35</f>
        <v>0</v>
      </c>
      <c r="J184" s="639">
        <f>PERSONAL!K35</f>
        <v>0</v>
      </c>
      <c r="K184" s="639">
        <f>PERSONAL!L35*T184</f>
        <v>0</v>
      </c>
      <c r="L184" s="639">
        <f>PERSONAL!M35*U184</f>
        <v>0</v>
      </c>
      <c r="M184" s="435">
        <f t="shared" si="8"/>
        <v>0</v>
      </c>
      <c r="N184" s="500">
        <f>PERSONAL!N35</f>
        <v>0</v>
      </c>
      <c r="O184" s="436">
        <f t="shared" si="6"/>
        <v>0</v>
      </c>
      <c r="P184" s="436">
        <f t="shared" si="7"/>
        <v>0</v>
      </c>
      <c r="Q184" s="437">
        <f t="shared" si="9"/>
        <v>0</v>
      </c>
      <c r="R184" s="501">
        <f>PERSONAL!Q35</f>
        <v>0</v>
      </c>
      <c r="T184" s="664">
        <v>1</v>
      </c>
      <c r="U184" s="665">
        <v>1</v>
      </c>
      <c r="V184" s="780"/>
      <c r="W184" s="955"/>
      <c r="X184" s="955"/>
      <c r="Y184" s="955"/>
      <c r="Z184" s="955"/>
      <c r="AA184" s="955"/>
      <c r="AB184" s="955"/>
    </row>
    <row r="185" spans="1:28" ht="13.5" x14ac:dyDescent="0.25">
      <c r="A185" s="786">
        <f>PERSONAL!B36</f>
        <v>0</v>
      </c>
      <c r="B185" s="794"/>
      <c r="C185" s="639">
        <f>PERSONAL!D36</f>
        <v>0</v>
      </c>
      <c r="D185" s="786">
        <f>PERSONAL!E36</f>
        <v>0</v>
      </c>
      <c r="E185" s="794"/>
      <c r="F185" s="639">
        <f>PERSONAL!G36</f>
        <v>0</v>
      </c>
      <c r="G185" s="639">
        <f>PERSONAL!H36</f>
        <v>0</v>
      </c>
      <c r="H185" s="639">
        <f>PERSONAL!I36</f>
        <v>0</v>
      </c>
      <c r="I185" s="639">
        <f>PERSONAL!J36</f>
        <v>0</v>
      </c>
      <c r="J185" s="639">
        <f>PERSONAL!K36</f>
        <v>0</v>
      </c>
      <c r="K185" s="639">
        <f>PERSONAL!L36*T185</f>
        <v>0</v>
      </c>
      <c r="L185" s="639">
        <f>PERSONAL!M36*U185</f>
        <v>0</v>
      </c>
      <c r="M185" s="435">
        <f t="shared" si="8"/>
        <v>0</v>
      </c>
      <c r="N185" s="500">
        <f>PERSONAL!N36</f>
        <v>0</v>
      </c>
      <c r="O185" s="436">
        <f t="shared" si="6"/>
        <v>0</v>
      </c>
      <c r="P185" s="436">
        <f t="shared" si="7"/>
        <v>0</v>
      </c>
      <c r="Q185" s="437">
        <f t="shared" si="9"/>
        <v>0</v>
      </c>
      <c r="R185" s="501">
        <f>PERSONAL!Q36</f>
        <v>0</v>
      </c>
      <c r="T185" s="664">
        <v>1</v>
      </c>
      <c r="U185" s="665">
        <v>1</v>
      </c>
      <c r="V185" s="780"/>
      <c r="W185" s="955"/>
      <c r="X185" s="955"/>
      <c r="Y185" s="955"/>
      <c r="Z185" s="955"/>
      <c r="AA185" s="955"/>
      <c r="AB185" s="955"/>
    </row>
    <row r="186" spans="1:28" ht="13.5" x14ac:dyDescent="0.25">
      <c r="A186" s="786">
        <f>PERSONAL!B37</f>
        <v>0</v>
      </c>
      <c r="B186" s="794"/>
      <c r="C186" s="639">
        <f>PERSONAL!D37</f>
        <v>0</v>
      </c>
      <c r="D186" s="786">
        <f>PERSONAL!E37</f>
        <v>0</v>
      </c>
      <c r="E186" s="794"/>
      <c r="F186" s="639">
        <f>PERSONAL!G37</f>
        <v>0</v>
      </c>
      <c r="G186" s="639">
        <f>PERSONAL!H37</f>
        <v>0</v>
      </c>
      <c r="H186" s="639">
        <f>PERSONAL!I37</f>
        <v>0</v>
      </c>
      <c r="I186" s="639">
        <f>PERSONAL!J37</f>
        <v>0</v>
      </c>
      <c r="J186" s="639">
        <f>PERSONAL!K37</f>
        <v>0</v>
      </c>
      <c r="K186" s="639">
        <f>PERSONAL!L37*T186</f>
        <v>0</v>
      </c>
      <c r="L186" s="639">
        <f>PERSONAL!M37*U186</f>
        <v>0</v>
      </c>
      <c r="M186" s="435">
        <f t="shared" si="8"/>
        <v>0</v>
      </c>
      <c r="N186" s="500">
        <f>PERSONAL!N37</f>
        <v>0</v>
      </c>
      <c r="O186" s="436">
        <f t="shared" si="6"/>
        <v>0</v>
      </c>
      <c r="P186" s="436">
        <f t="shared" si="7"/>
        <v>0</v>
      </c>
      <c r="Q186" s="437">
        <f t="shared" si="9"/>
        <v>0</v>
      </c>
      <c r="R186" s="501">
        <f>PERSONAL!Q37</f>
        <v>0</v>
      </c>
      <c r="T186" s="664">
        <v>1</v>
      </c>
      <c r="U186" s="665">
        <v>1</v>
      </c>
      <c r="V186" s="780"/>
      <c r="W186" s="955"/>
      <c r="X186" s="955"/>
      <c r="Y186" s="955"/>
      <c r="Z186" s="955"/>
      <c r="AA186" s="955"/>
      <c r="AB186" s="955"/>
    </row>
    <row r="187" spans="1:28" ht="13.5" x14ac:dyDescent="0.25">
      <c r="A187" s="786">
        <f>PERSONAL!B38</f>
        <v>0</v>
      </c>
      <c r="B187" s="794"/>
      <c r="C187" s="639">
        <f>PERSONAL!D38</f>
        <v>0</v>
      </c>
      <c r="D187" s="786">
        <f>PERSONAL!E38</f>
        <v>0</v>
      </c>
      <c r="E187" s="794"/>
      <c r="F187" s="639">
        <f>PERSONAL!G38</f>
        <v>0</v>
      </c>
      <c r="G187" s="639">
        <f>PERSONAL!H38</f>
        <v>0</v>
      </c>
      <c r="H187" s="639">
        <f>PERSONAL!I38</f>
        <v>0</v>
      </c>
      <c r="I187" s="639">
        <f>PERSONAL!J38</f>
        <v>0</v>
      </c>
      <c r="J187" s="639">
        <f>PERSONAL!K38</f>
        <v>0</v>
      </c>
      <c r="K187" s="639">
        <f>PERSONAL!L38*T187</f>
        <v>0</v>
      </c>
      <c r="L187" s="639">
        <f>PERSONAL!M38*U187</f>
        <v>0</v>
      </c>
      <c r="M187" s="435">
        <f t="shared" si="8"/>
        <v>0</v>
      </c>
      <c r="N187" s="500">
        <f>PERSONAL!N38</f>
        <v>0</v>
      </c>
      <c r="O187" s="436">
        <f t="shared" si="6"/>
        <v>0</v>
      </c>
      <c r="P187" s="436">
        <f t="shared" si="7"/>
        <v>0</v>
      </c>
      <c r="Q187" s="437">
        <f t="shared" si="9"/>
        <v>0</v>
      </c>
      <c r="R187" s="501">
        <f>PERSONAL!Q38</f>
        <v>0</v>
      </c>
      <c r="T187" s="664">
        <v>1</v>
      </c>
      <c r="U187" s="665">
        <v>1</v>
      </c>
      <c r="V187" s="780"/>
      <c r="W187" s="955"/>
      <c r="X187" s="955"/>
      <c r="Y187" s="955"/>
      <c r="Z187" s="955"/>
      <c r="AA187" s="955"/>
      <c r="AB187" s="955"/>
    </row>
    <row r="188" spans="1:28" ht="13.5" x14ac:dyDescent="0.25">
      <c r="A188" s="786">
        <f>PERSONAL!B39</f>
        <v>0</v>
      </c>
      <c r="B188" s="794"/>
      <c r="C188" s="639">
        <f>PERSONAL!D39</f>
        <v>0</v>
      </c>
      <c r="D188" s="786">
        <f>PERSONAL!E39</f>
        <v>0</v>
      </c>
      <c r="E188" s="794"/>
      <c r="F188" s="639">
        <f>PERSONAL!G39</f>
        <v>0</v>
      </c>
      <c r="G188" s="639">
        <f>PERSONAL!H39</f>
        <v>0</v>
      </c>
      <c r="H188" s="639">
        <f>PERSONAL!I39</f>
        <v>0</v>
      </c>
      <c r="I188" s="639">
        <f>PERSONAL!J39</f>
        <v>0</v>
      </c>
      <c r="J188" s="639">
        <f>PERSONAL!K39</f>
        <v>0</v>
      </c>
      <c r="K188" s="639">
        <f>PERSONAL!L39*T188</f>
        <v>0</v>
      </c>
      <c r="L188" s="639">
        <f>PERSONAL!M39*U188</f>
        <v>0</v>
      </c>
      <c r="M188" s="435">
        <f t="shared" si="8"/>
        <v>0</v>
      </c>
      <c r="N188" s="500">
        <f>PERSONAL!N39</f>
        <v>0</v>
      </c>
      <c r="O188" s="436">
        <f t="shared" si="6"/>
        <v>0</v>
      </c>
      <c r="P188" s="436">
        <f t="shared" si="7"/>
        <v>0</v>
      </c>
      <c r="Q188" s="437">
        <f t="shared" si="9"/>
        <v>0</v>
      </c>
      <c r="R188" s="501">
        <f>PERSONAL!Q39</f>
        <v>0</v>
      </c>
      <c r="T188" s="664">
        <v>1</v>
      </c>
      <c r="U188" s="665">
        <v>1</v>
      </c>
      <c r="V188" s="780"/>
      <c r="W188" s="955"/>
      <c r="X188" s="955"/>
      <c r="Y188" s="955"/>
      <c r="Z188" s="955"/>
      <c r="AA188" s="955"/>
      <c r="AB188" s="955"/>
    </row>
    <row r="189" spans="1:28" ht="13.5" x14ac:dyDescent="0.25">
      <c r="A189" s="786">
        <f>PERSONAL!B40</f>
        <v>0</v>
      </c>
      <c r="B189" s="794"/>
      <c r="C189" s="639">
        <f>PERSONAL!D40</f>
        <v>0</v>
      </c>
      <c r="D189" s="786">
        <f>PERSONAL!E40</f>
        <v>0</v>
      </c>
      <c r="E189" s="794"/>
      <c r="F189" s="639">
        <f>PERSONAL!G40</f>
        <v>0</v>
      </c>
      <c r="G189" s="639">
        <f>PERSONAL!H40</f>
        <v>0</v>
      </c>
      <c r="H189" s="639">
        <f>PERSONAL!I40</f>
        <v>0</v>
      </c>
      <c r="I189" s="639">
        <f>PERSONAL!J40</f>
        <v>0</v>
      </c>
      <c r="J189" s="639">
        <f>PERSONAL!K40</f>
        <v>0</v>
      </c>
      <c r="K189" s="639">
        <f>PERSONAL!L40*T189</f>
        <v>0</v>
      </c>
      <c r="L189" s="639">
        <f>PERSONAL!M40*U189</f>
        <v>0</v>
      </c>
      <c r="M189" s="435">
        <f t="shared" si="8"/>
        <v>0</v>
      </c>
      <c r="N189" s="500">
        <f>PERSONAL!N40</f>
        <v>0</v>
      </c>
      <c r="O189" s="436">
        <f t="shared" si="6"/>
        <v>0</v>
      </c>
      <c r="P189" s="436">
        <f t="shared" si="7"/>
        <v>0</v>
      </c>
      <c r="Q189" s="437">
        <f t="shared" si="9"/>
        <v>0</v>
      </c>
      <c r="R189" s="501">
        <f>PERSONAL!Q40</f>
        <v>0</v>
      </c>
      <c r="T189" s="664">
        <v>1</v>
      </c>
      <c r="U189" s="665">
        <v>1</v>
      </c>
      <c r="V189" s="780"/>
      <c r="W189" s="955"/>
      <c r="X189" s="955"/>
      <c r="Y189" s="955"/>
      <c r="Z189" s="955"/>
      <c r="AA189" s="955"/>
      <c r="AB189" s="955"/>
    </row>
    <row r="190" spans="1:28" ht="13.5" x14ac:dyDescent="0.25">
      <c r="A190" s="786">
        <f>PERSONAL!B41</f>
        <v>0</v>
      </c>
      <c r="B190" s="794"/>
      <c r="C190" s="639">
        <f>PERSONAL!D41</f>
        <v>0</v>
      </c>
      <c r="D190" s="786">
        <f>PERSONAL!E41</f>
        <v>0</v>
      </c>
      <c r="E190" s="794"/>
      <c r="F190" s="639">
        <f>PERSONAL!G41</f>
        <v>0</v>
      </c>
      <c r="G190" s="639">
        <f>PERSONAL!H41</f>
        <v>0</v>
      </c>
      <c r="H190" s="639">
        <f>PERSONAL!I41</f>
        <v>0</v>
      </c>
      <c r="I190" s="639">
        <f>PERSONAL!J41</f>
        <v>0</v>
      </c>
      <c r="J190" s="639">
        <f>PERSONAL!K41</f>
        <v>0</v>
      </c>
      <c r="K190" s="639">
        <f>PERSONAL!L41*T190</f>
        <v>0</v>
      </c>
      <c r="L190" s="639">
        <f>PERSONAL!M41*U190</f>
        <v>0</v>
      </c>
      <c r="M190" s="435">
        <f t="shared" si="8"/>
        <v>0</v>
      </c>
      <c r="N190" s="500">
        <f>PERSONAL!N41</f>
        <v>0</v>
      </c>
      <c r="O190" s="436">
        <f t="shared" si="6"/>
        <v>0</v>
      </c>
      <c r="P190" s="436">
        <f t="shared" si="7"/>
        <v>0</v>
      </c>
      <c r="Q190" s="437">
        <f t="shared" si="9"/>
        <v>0</v>
      </c>
      <c r="R190" s="501">
        <f>PERSONAL!Q41</f>
        <v>0</v>
      </c>
      <c r="T190" s="664">
        <v>1</v>
      </c>
      <c r="U190" s="665">
        <v>1</v>
      </c>
      <c r="V190" s="780"/>
      <c r="W190" s="955"/>
      <c r="X190" s="955"/>
      <c r="Y190" s="955"/>
      <c r="Z190" s="955"/>
      <c r="AA190" s="955"/>
      <c r="AB190" s="955"/>
    </row>
    <row r="191" spans="1:28" ht="13.5" x14ac:dyDescent="0.25">
      <c r="A191" s="786">
        <f>PERSONAL!B42</f>
        <v>0</v>
      </c>
      <c r="B191" s="794"/>
      <c r="C191" s="639">
        <f>PERSONAL!D42</f>
        <v>0</v>
      </c>
      <c r="D191" s="786">
        <f>PERSONAL!E42</f>
        <v>0</v>
      </c>
      <c r="E191" s="794"/>
      <c r="F191" s="639">
        <f>PERSONAL!G42</f>
        <v>0</v>
      </c>
      <c r="G191" s="639">
        <f>PERSONAL!H42</f>
        <v>0</v>
      </c>
      <c r="H191" s="639">
        <f>PERSONAL!I42</f>
        <v>0</v>
      </c>
      <c r="I191" s="639">
        <f>PERSONAL!J42</f>
        <v>0</v>
      </c>
      <c r="J191" s="639">
        <f>PERSONAL!K42</f>
        <v>0</v>
      </c>
      <c r="K191" s="639">
        <f>PERSONAL!L42*T191</f>
        <v>0</v>
      </c>
      <c r="L191" s="639">
        <f>PERSONAL!M42*U191</f>
        <v>0</v>
      </c>
      <c r="M191" s="435">
        <f t="shared" si="8"/>
        <v>0</v>
      </c>
      <c r="N191" s="500">
        <f>PERSONAL!N42</f>
        <v>0</v>
      </c>
      <c r="O191" s="436">
        <f t="shared" si="6"/>
        <v>0</v>
      </c>
      <c r="P191" s="436">
        <f t="shared" si="7"/>
        <v>0</v>
      </c>
      <c r="Q191" s="437">
        <f t="shared" si="9"/>
        <v>0</v>
      </c>
      <c r="R191" s="501">
        <f>PERSONAL!Q42</f>
        <v>0</v>
      </c>
      <c r="T191" s="664">
        <v>1</v>
      </c>
      <c r="U191" s="665">
        <v>1</v>
      </c>
      <c r="V191" s="780"/>
      <c r="W191" s="955"/>
      <c r="X191" s="955"/>
      <c r="Y191" s="955"/>
      <c r="Z191" s="955"/>
      <c r="AA191" s="955"/>
      <c r="AB191" s="955"/>
    </row>
    <row r="192" spans="1:28" ht="13.5" x14ac:dyDescent="0.25">
      <c r="A192" s="786">
        <f>PERSONAL!B43</f>
        <v>0</v>
      </c>
      <c r="B192" s="794"/>
      <c r="C192" s="639">
        <f>PERSONAL!D43</f>
        <v>0</v>
      </c>
      <c r="D192" s="786">
        <f>PERSONAL!E43</f>
        <v>0</v>
      </c>
      <c r="E192" s="794"/>
      <c r="F192" s="639">
        <f>PERSONAL!G43</f>
        <v>0</v>
      </c>
      <c r="G192" s="639">
        <f>PERSONAL!H43</f>
        <v>0</v>
      </c>
      <c r="H192" s="639">
        <f>PERSONAL!I43</f>
        <v>0</v>
      </c>
      <c r="I192" s="639">
        <f>PERSONAL!J43</f>
        <v>0</v>
      </c>
      <c r="J192" s="639">
        <f>PERSONAL!K43</f>
        <v>0</v>
      </c>
      <c r="K192" s="639">
        <f>PERSONAL!L43*T192</f>
        <v>0</v>
      </c>
      <c r="L192" s="639">
        <f>PERSONAL!M43*U192</f>
        <v>0</v>
      </c>
      <c r="M192" s="435">
        <f t="shared" si="8"/>
        <v>0</v>
      </c>
      <c r="N192" s="500">
        <f>PERSONAL!N43</f>
        <v>0</v>
      </c>
      <c r="O192" s="436">
        <f t="shared" si="6"/>
        <v>0</v>
      </c>
      <c r="P192" s="436">
        <f t="shared" si="7"/>
        <v>0</v>
      </c>
      <c r="Q192" s="437">
        <f t="shared" si="9"/>
        <v>0</v>
      </c>
      <c r="R192" s="501">
        <f>PERSONAL!Q43</f>
        <v>0</v>
      </c>
      <c r="T192" s="664">
        <v>1</v>
      </c>
      <c r="U192" s="665">
        <v>1</v>
      </c>
      <c r="V192" s="780"/>
      <c r="W192" s="955"/>
      <c r="X192" s="955"/>
      <c r="Y192" s="955"/>
      <c r="Z192" s="955"/>
      <c r="AA192" s="955"/>
      <c r="AB192" s="955"/>
    </row>
    <row r="193" spans="1:28" ht="13.5" x14ac:dyDescent="0.25">
      <c r="A193" s="786">
        <f>PERSONAL!B44</f>
        <v>0</v>
      </c>
      <c r="B193" s="794"/>
      <c r="C193" s="639">
        <f>PERSONAL!D44</f>
        <v>0</v>
      </c>
      <c r="D193" s="786">
        <f>PERSONAL!E44</f>
        <v>0</v>
      </c>
      <c r="E193" s="794"/>
      <c r="F193" s="639">
        <f>PERSONAL!G44</f>
        <v>0</v>
      </c>
      <c r="G193" s="639">
        <f>PERSONAL!H44</f>
        <v>0</v>
      </c>
      <c r="H193" s="639">
        <f>PERSONAL!I44</f>
        <v>0</v>
      </c>
      <c r="I193" s="639">
        <f>PERSONAL!J44</f>
        <v>0</v>
      </c>
      <c r="J193" s="639">
        <f>PERSONAL!K44</f>
        <v>0</v>
      </c>
      <c r="K193" s="639">
        <f>PERSONAL!L44*T193</f>
        <v>0</v>
      </c>
      <c r="L193" s="639">
        <f>PERSONAL!M44*U193</f>
        <v>0</v>
      </c>
      <c r="M193" s="435">
        <f t="shared" si="8"/>
        <v>0</v>
      </c>
      <c r="N193" s="500">
        <f>PERSONAL!N44</f>
        <v>0</v>
      </c>
      <c r="O193" s="436">
        <f t="shared" si="6"/>
        <v>0</v>
      </c>
      <c r="P193" s="436">
        <f t="shared" si="7"/>
        <v>0</v>
      </c>
      <c r="Q193" s="437">
        <f t="shared" si="9"/>
        <v>0</v>
      </c>
      <c r="R193" s="501">
        <f>PERSONAL!Q44</f>
        <v>0</v>
      </c>
      <c r="T193" s="664">
        <v>1</v>
      </c>
      <c r="U193" s="665">
        <v>1</v>
      </c>
      <c r="V193" s="780"/>
      <c r="W193" s="955"/>
      <c r="X193" s="955"/>
      <c r="Y193" s="955"/>
      <c r="Z193" s="955"/>
      <c r="AA193" s="955"/>
      <c r="AB193" s="955"/>
    </row>
    <row r="194" spans="1:28" ht="13.5" x14ac:dyDescent="0.25">
      <c r="A194" s="786">
        <f>PERSONAL!B45</f>
        <v>0</v>
      </c>
      <c r="B194" s="794"/>
      <c r="C194" s="639">
        <f>PERSONAL!D45</f>
        <v>0</v>
      </c>
      <c r="D194" s="786">
        <f>PERSONAL!E45</f>
        <v>0</v>
      </c>
      <c r="E194" s="794"/>
      <c r="F194" s="639">
        <f>PERSONAL!G45</f>
        <v>0</v>
      </c>
      <c r="G194" s="639">
        <f>PERSONAL!H45</f>
        <v>0</v>
      </c>
      <c r="H194" s="639">
        <f>PERSONAL!I45</f>
        <v>0</v>
      </c>
      <c r="I194" s="639">
        <f>PERSONAL!J45</f>
        <v>0</v>
      </c>
      <c r="J194" s="639">
        <f>PERSONAL!K45</f>
        <v>0</v>
      </c>
      <c r="K194" s="639">
        <f>PERSONAL!L45*T194</f>
        <v>0</v>
      </c>
      <c r="L194" s="639">
        <f>PERSONAL!M45*U194</f>
        <v>0</v>
      </c>
      <c r="M194" s="435">
        <f t="shared" si="8"/>
        <v>0</v>
      </c>
      <c r="N194" s="500">
        <f>PERSONAL!N45</f>
        <v>0</v>
      </c>
      <c r="O194" s="436">
        <f t="shared" si="6"/>
        <v>0</v>
      </c>
      <c r="P194" s="436">
        <f t="shared" si="7"/>
        <v>0</v>
      </c>
      <c r="Q194" s="437">
        <f t="shared" si="9"/>
        <v>0</v>
      </c>
      <c r="R194" s="501">
        <f>PERSONAL!Q45</f>
        <v>0</v>
      </c>
      <c r="T194" s="664">
        <v>1</v>
      </c>
      <c r="U194" s="665">
        <v>1</v>
      </c>
      <c r="V194" s="780"/>
      <c r="W194" s="955"/>
      <c r="X194" s="955"/>
      <c r="Y194" s="955"/>
      <c r="Z194" s="955"/>
      <c r="AA194" s="955"/>
      <c r="AB194" s="955"/>
    </row>
    <row r="195" spans="1:28" ht="13.5" x14ac:dyDescent="0.25">
      <c r="A195" s="786">
        <f>PERSONAL!B46</f>
        <v>0</v>
      </c>
      <c r="B195" s="794"/>
      <c r="C195" s="639">
        <f>PERSONAL!D46</f>
        <v>0</v>
      </c>
      <c r="D195" s="786">
        <f>PERSONAL!E46</f>
        <v>0</v>
      </c>
      <c r="E195" s="794"/>
      <c r="F195" s="639">
        <f>PERSONAL!G46</f>
        <v>0</v>
      </c>
      <c r="G195" s="639">
        <f>PERSONAL!H46</f>
        <v>0</v>
      </c>
      <c r="H195" s="639">
        <f>PERSONAL!I46</f>
        <v>0</v>
      </c>
      <c r="I195" s="639">
        <f>PERSONAL!J46</f>
        <v>0</v>
      </c>
      <c r="J195" s="639">
        <f>PERSONAL!K46</f>
        <v>0</v>
      </c>
      <c r="K195" s="639">
        <f>PERSONAL!L46*T195</f>
        <v>0</v>
      </c>
      <c r="L195" s="639">
        <f>PERSONAL!M46*U195</f>
        <v>0</v>
      </c>
      <c r="M195" s="435">
        <f t="shared" si="8"/>
        <v>0</v>
      </c>
      <c r="N195" s="500">
        <f>PERSONAL!N46</f>
        <v>0</v>
      </c>
      <c r="O195" s="436">
        <f t="shared" si="6"/>
        <v>0</v>
      </c>
      <c r="P195" s="436">
        <f t="shared" si="7"/>
        <v>0</v>
      </c>
      <c r="Q195" s="437">
        <f t="shared" si="9"/>
        <v>0</v>
      </c>
      <c r="R195" s="501">
        <f>PERSONAL!Q46</f>
        <v>0</v>
      </c>
      <c r="T195" s="664">
        <v>1</v>
      </c>
      <c r="U195" s="665">
        <v>1</v>
      </c>
      <c r="V195" s="780"/>
      <c r="W195" s="955"/>
      <c r="X195" s="955"/>
      <c r="Y195" s="955"/>
      <c r="Z195" s="955"/>
      <c r="AA195" s="955"/>
      <c r="AB195" s="955"/>
    </row>
    <row r="196" spans="1:28" ht="13.5" x14ac:dyDescent="0.25">
      <c r="A196" s="786">
        <f>PERSONAL!B47</f>
        <v>0</v>
      </c>
      <c r="B196" s="794"/>
      <c r="C196" s="639">
        <f>PERSONAL!D47</f>
        <v>0</v>
      </c>
      <c r="D196" s="786">
        <f>PERSONAL!E47</f>
        <v>0</v>
      </c>
      <c r="E196" s="794"/>
      <c r="F196" s="639">
        <f>PERSONAL!G47</f>
        <v>0</v>
      </c>
      <c r="G196" s="639">
        <f>PERSONAL!H47</f>
        <v>0</v>
      </c>
      <c r="H196" s="639">
        <f>PERSONAL!I47</f>
        <v>0</v>
      </c>
      <c r="I196" s="639">
        <f>PERSONAL!J47</f>
        <v>0</v>
      </c>
      <c r="J196" s="639">
        <f>PERSONAL!K47</f>
        <v>0</v>
      </c>
      <c r="K196" s="639">
        <f>PERSONAL!L47*T196</f>
        <v>0</v>
      </c>
      <c r="L196" s="639">
        <f>PERSONAL!M47*U196</f>
        <v>0</v>
      </c>
      <c r="M196" s="435">
        <f t="shared" si="8"/>
        <v>0</v>
      </c>
      <c r="N196" s="500">
        <f>PERSONAL!N47</f>
        <v>0</v>
      </c>
      <c r="O196" s="436">
        <f t="shared" ref="O196:O227" si="10">I196*K196</f>
        <v>0</v>
      </c>
      <c r="P196" s="436">
        <f t="shared" ref="P196:P227" si="11">J196*L196</f>
        <v>0</v>
      </c>
      <c r="Q196" s="437">
        <f t="shared" si="9"/>
        <v>0</v>
      </c>
      <c r="R196" s="501">
        <f>PERSONAL!Q47</f>
        <v>0</v>
      </c>
      <c r="T196" s="664">
        <v>1</v>
      </c>
      <c r="U196" s="665">
        <v>1</v>
      </c>
      <c r="V196" s="780"/>
      <c r="W196" s="955"/>
      <c r="X196" s="955"/>
      <c r="Y196" s="955"/>
      <c r="Z196" s="955"/>
      <c r="AA196" s="955"/>
      <c r="AB196" s="955"/>
    </row>
    <row r="197" spans="1:28" ht="13.5" x14ac:dyDescent="0.25">
      <c r="A197" s="786">
        <f>PERSONAL!B48</f>
        <v>0</v>
      </c>
      <c r="B197" s="794"/>
      <c r="C197" s="639">
        <f>PERSONAL!D48</f>
        <v>0</v>
      </c>
      <c r="D197" s="786">
        <f>PERSONAL!E48</f>
        <v>0</v>
      </c>
      <c r="E197" s="794"/>
      <c r="F197" s="639">
        <f>PERSONAL!G48</f>
        <v>0</v>
      </c>
      <c r="G197" s="639">
        <f>PERSONAL!H48</f>
        <v>0</v>
      </c>
      <c r="H197" s="639">
        <f>PERSONAL!I48</f>
        <v>0</v>
      </c>
      <c r="I197" s="639">
        <f>PERSONAL!J48</f>
        <v>0</v>
      </c>
      <c r="J197" s="639">
        <f>PERSONAL!K48</f>
        <v>0</v>
      </c>
      <c r="K197" s="639">
        <f>PERSONAL!L48*T197</f>
        <v>0</v>
      </c>
      <c r="L197" s="639">
        <f>PERSONAL!M48*U197</f>
        <v>0</v>
      </c>
      <c r="M197" s="435">
        <f t="shared" si="8"/>
        <v>0</v>
      </c>
      <c r="N197" s="500">
        <f>PERSONAL!N48</f>
        <v>0</v>
      </c>
      <c r="O197" s="436">
        <f t="shared" si="10"/>
        <v>0</v>
      </c>
      <c r="P197" s="436">
        <f t="shared" si="11"/>
        <v>0</v>
      </c>
      <c r="Q197" s="437">
        <f t="shared" si="9"/>
        <v>0</v>
      </c>
      <c r="R197" s="501">
        <f>PERSONAL!Q48</f>
        <v>0</v>
      </c>
      <c r="T197" s="664">
        <v>1</v>
      </c>
      <c r="U197" s="665">
        <v>1</v>
      </c>
      <c r="V197" s="780"/>
      <c r="W197" s="955"/>
      <c r="X197" s="955"/>
      <c r="Y197" s="955"/>
      <c r="Z197" s="955"/>
      <c r="AA197" s="955"/>
      <c r="AB197" s="955"/>
    </row>
    <row r="198" spans="1:28" ht="13.5" x14ac:dyDescent="0.25">
      <c r="A198" s="786">
        <f>PERSONAL!B49</f>
        <v>0</v>
      </c>
      <c r="B198" s="794"/>
      <c r="C198" s="639">
        <f>PERSONAL!D49</f>
        <v>0</v>
      </c>
      <c r="D198" s="786">
        <f>PERSONAL!E49</f>
        <v>0</v>
      </c>
      <c r="E198" s="794"/>
      <c r="F198" s="639">
        <f>PERSONAL!G49</f>
        <v>0</v>
      </c>
      <c r="G198" s="639">
        <f>PERSONAL!H49</f>
        <v>0</v>
      </c>
      <c r="H198" s="639">
        <f>PERSONAL!I49</f>
        <v>0</v>
      </c>
      <c r="I198" s="639">
        <f>PERSONAL!J49</f>
        <v>0</v>
      </c>
      <c r="J198" s="639">
        <f>PERSONAL!K49</f>
        <v>0</v>
      </c>
      <c r="K198" s="639">
        <f>PERSONAL!L49*T198</f>
        <v>0</v>
      </c>
      <c r="L198" s="639">
        <f>PERSONAL!M49*U198</f>
        <v>0</v>
      </c>
      <c r="M198" s="435">
        <f t="shared" si="8"/>
        <v>0</v>
      </c>
      <c r="N198" s="500">
        <f>PERSONAL!N49</f>
        <v>0</v>
      </c>
      <c r="O198" s="436">
        <f t="shared" si="10"/>
        <v>0</v>
      </c>
      <c r="P198" s="436">
        <f t="shared" si="11"/>
        <v>0</v>
      </c>
      <c r="Q198" s="437">
        <f t="shared" si="9"/>
        <v>0</v>
      </c>
      <c r="R198" s="501">
        <f>PERSONAL!Q49</f>
        <v>0</v>
      </c>
      <c r="T198" s="664">
        <v>1</v>
      </c>
      <c r="U198" s="665">
        <v>1</v>
      </c>
      <c r="V198" s="780"/>
      <c r="W198" s="955"/>
      <c r="X198" s="955"/>
      <c r="Y198" s="955"/>
      <c r="Z198" s="955"/>
      <c r="AA198" s="955"/>
      <c r="AB198" s="955"/>
    </row>
    <row r="199" spans="1:28" ht="13.5" x14ac:dyDescent="0.25">
      <c r="A199" s="786">
        <f>PERSONAL!B50</f>
        <v>0</v>
      </c>
      <c r="B199" s="794"/>
      <c r="C199" s="639">
        <f>PERSONAL!D50</f>
        <v>0</v>
      </c>
      <c r="D199" s="786">
        <f>PERSONAL!E50</f>
        <v>0</v>
      </c>
      <c r="E199" s="794"/>
      <c r="F199" s="639">
        <f>PERSONAL!G50</f>
        <v>0</v>
      </c>
      <c r="G199" s="639">
        <f>PERSONAL!H50</f>
        <v>0</v>
      </c>
      <c r="H199" s="639">
        <f>PERSONAL!I50</f>
        <v>0</v>
      </c>
      <c r="I199" s="639">
        <f>PERSONAL!J50</f>
        <v>0</v>
      </c>
      <c r="J199" s="639">
        <f>PERSONAL!K50</f>
        <v>0</v>
      </c>
      <c r="K199" s="639">
        <f>PERSONAL!L50*T199</f>
        <v>0</v>
      </c>
      <c r="L199" s="639">
        <f>PERSONAL!M50*U199</f>
        <v>0</v>
      </c>
      <c r="M199" s="435">
        <f t="shared" si="8"/>
        <v>0</v>
      </c>
      <c r="N199" s="500">
        <f>PERSONAL!N50</f>
        <v>0</v>
      </c>
      <c r="O199" s="436">
        <f t="shared" si="10"/>
        <v>0</v>
      </c>
      <c r="P199" s="436">
        <f t="shared" si="11"/>
        <v>0</v>
      </c>
      <c r="Q199" s="437">
        <f t="shared" si="9"/>
        <v>0</v>
      </c>
      <c r="R199" s="501">
        <f>PERSONAL!Q50</f>
        <v>0</v>
      </c>
      <c r="T199" s="664">
        <v>1</v>
      </c>
      <c r="U199" s="665">
        <v>1</v>
      </c>
      <c r="V199" s="780"/>
      <c r="W199" s="955"/>
      <c r="X199" s="955"/>
      <c r="Y199" s="955"/>
      <c r="Z199" s="955"/>
      <c r="AA199" s="955"/>
      <c r="AB199" s="955"/>
    </row>
    <row r="200" spans="1:28" ht="13.5" x14ac:dyDescent="0.25">
      <c r="A200" s="786">
        <f>PERSONAL!B51</f>
        <v>0</v>
      </c>
      <c r="B200" s="794"/>
      <c r="C200" s="639">
        <f>PERSONAL!D51</f>
        <v>0</v>
      </c>
      <c r="D200" s="786">
        <f>PERSONAL!E51</f>
        <v>0</v>
      </c>
      <c r="E200" s="794"/>
      <c r="F200" s="639">
        <f>PERSONAL!G51</f>
        <v>0</v>
      </c>
      <c r="G200" s="639">
        <f>PERSONAL!H51</f>
        <v>0</v>
      </c>
      <c r="H200" s="639">
        <f>PERSONAL!I51</f>
        <v>0</v>
      </c>
      <c r="I200" s="639">
        <f>PERSONAL!J51</f>
        <v>0</v>
      </c>
      <c r="J200" s="639">
        <f>PERSONAL!K51</f>
        <v>0</v>
      </c>
      <c r="K200" s="639">
        <f>PERSONAL!L51*T200</f>
        <v>0</v>
      </c>
      <c r="L200" s="639">
        <f>PERSONAL!M51*U200</f>
        <v>0</v>
      </c>
      <c r="M200" s="435">
        <f t="shared" si="8"/>
        <v>0</v>
      </c>
      <c r="N200" s="500">
        <f>PERSONAL!N51</f>
        <v>0</v>
      </c>
      <c r="O200" s="436">
        <f t="shared" si="10"/>
        <v>0</v>
      </c>
      <c r="P200" s="436">
        <f t="shared" si="11"/>
        <v>0</v>
      </c>
      <c r="Q200" s="437">
        <f t="shared" si="9"/>
        <v>0</v>
      </c>
      <c r="R200" s="501">
        <f>PERSONAL!Q51</f>
        <v>0</v>
      </c>
      <c r="T200" s="664">
        <v>1</v>
      </c>
      <c r="U200" s="665">
        <v>1</v>
      </c>
      <c r="V200" s="780"/>
      <c r="W200" s="955"/>
      <c r="X200" s="955"/>
      <c r="Y200" s="955"/>
      <c r="Z200" s="955"/>
      <c r="AA200" s="955"/>
      <c r="AB200" s="955"/>
    </row>
    <row r="201" spans="1:28" ht="13.5" x14ac:dyDescent="0.25">
      <c r="A201" s="786">
        <f>PERSONAL!B52</f>
        <v>0</v>
      </c>
      <c r="B201" s="794"/>
      <c r="C201" s="639">
        <f>PERSONAL!D52</f>
        <v>0</v>
      </c>
      <c r="D201" s="786">
        <f>PERSONAL!E52</f>
        <v>0</v>
      </c>
      <c r="E201" s="794"/>
      <c r="F201" s="639">
        <f>PERSONAL!G52</f>
        <v>0</v>
      </c>
      <c r="G201" s="639">
        <f>PERSONAL!H52</f>
        <v>0</v>
      </c>
      <c r="H201" s="639">
        <f>PERSONAL!I52</f>
        <v>0</v>
      </c>
      <c r="I201" s="639">
        <f>PERSONAL!J52</f>
        <v>0</v>
      </c>
      <c r="J201" s="639">
        <f>PERSONAL!K52</f>
        <v>0</v>
      </c>
      <c r="K201" s="639">
        <f>PERSONAL!L52*T201</f>
        <v>0</v>
      </c>
      <c r="L201" s="639">
        <f>PERSONAL!M52*U201</f>
        <v>0</v>
      </c>
      <c r="M201" s="435">
        <f t="shared" si="8"/>
        <v>0</v>
      </c>
      <c r="N201" s="500">
        <f>PERSONAL!N52</f>
        <v>0</v>
      </c>
      <c r="O201" s="436">
        <f t="shared" si="10"/>
        <v>0</v>
      </c>
      <c r="P201" s="436">
        <f t="shared" si="11"/>
        <v>0</v>
      </c>
      <c r="Q201" s="437">
        <f t="shared" si="9"/>
        <v>0</v>
      </c>
      <c r="R201" s="501">
        <f>PERSONAL!Q52</f>
        <v>0</v>
      </c>
      <c r="T201" s="664">
        <v>1</v>
      </c>
      <c r="U201" s="665">
        <v>1</v>
      </c>
      <c r="V201" s="780"/>
      <c r="W201" s="955"/>
      <c r="X201" s="955"/>
      <c r="Y201" s="955"/>
      <c r="Z201" s="955"/>
      <c r="AA201" s="955"/>
      <c r="AB201" s="955"/>
    </row>
    <row r="202" spans="1:28" ht="13.5" x14ac:dyDescent="0.25">
      <c r="A202" s="786">
        <f>PERSONAL!B53</f>
        <v>0</v>
      </c>
      <c r="B202" s="794"/>
      <c r="C202" s="639">
        <f>PERSONAL!D53</f>
        <v>0</v>
      </c>
      <c r="D202" s="786">
        <f>PERSONAL!E53</f>
        <v>0</v>
      </c>
      <c r="E202" s="794"/>
      <c r="F202" s="639">
        <f>PERSONAL!G53</f>
        <v>0</v>
      </c>
      <c r="G202" s="639">
        <f>PERSONAL!H53</f>
        <v>0</v>
      </c>
      <c r="H202" s="639">
        <f>PERSONAL!I53</f>
        <v>0</v>
      </c>
      <c r="I202" s="639">
        <f>PERSONAL!J53</f>
        <v>0</v>
      </c>
      <c r="J202" s="639">
        <f>PERSONAL!K53</f>
        <v>0</v>
      </c>
      <c r="K202" s="639">
        <f>PERSONAL!L53*T202</f>
        <v>0</v>
      </c>
      <c r="L202" s="639">
        <f>PERSONAL!M53*U202</f>
        <v>0</v>
      </c>
      <c r="M202" s="435">
        <f t="shared" si="8"/>
        <v>0</v>
      </c>
      <c r="N202" s="500">
        <f>PERSONAL!N53</f>
        <v>0</v>
      </c>
      <c r="O202" s="436">
        <f t="shared" si="10"/>
        <v>0</v>
      </c>
      <c r="P202" s="436">
        <f t="shared" si="11"/>
        <v>0</v>
      </c>
      <c r="Q202" s="437">
        <f t="shared" si="9"/>
        <v>0</v>
      </c>
      <c r="R202" s="501">
        <f>PERSONAL!Q53</f>
        <v>0</v>
      </c>
      <c r="T202" s="664">
        <v>1</v>
      </c>
      <c r="U202" s="665">
        <v>1</v>
      </c>
      <c r="V202" s="780"/>
      <c r="W202" s="955"/>
      <c r="X202" s="955"/>
      <c r="Y202" s="955"/>
      <c r="Z202" s="955"/>
      <c r="AA202" s="955"/>
      <c r="AB202" s="955"/>
    </row>
    <row r="203" spans="1:28" ht="13.5" x14ac:dyDescent="0.25">
      <c r="A203" s="786">
        <f>PERSONAL!B54</f>
        <v>0</v>
      </c>
      <c r="B203" s="794"/>
      <c r="C203" s="639">
        <f>PERSONAL!D54</f>
        <v>0</v>
      </c>
      <c r="D203" s="786">
        <f>PERSONAL!E54</f>
        <v>0</v>
      </c>
      <c r="E203" s="794"/>
      <c r="F203" s="639">
        <f>PERSONAL!G54</f>
        <v>0</v>
      </c>
      <c r="G203" s="639">
        <f>PERSONAL!H54</f>
        <v>0</v>
      </c>
      <c r="H203" s="639">
        <f>PERSONAL!I54</f>
        <v>0</v>
      </c>
      <c r="I203" s="639">
        <f>PERSONAL!J54</f>
        <v>0</v>
      </c>
      <c r="J203" s="639">
        <f>PERSONAL!K54</f>
        <v>0</v>
      </c>
      <c r="K203" s="639">
        <f>PERSONAL!L54*T203</f>
        <v>0</v>
      </c>
      <c r="L203" s="639">
        <f>PERSONAL!M54*U203</f>
        <v>0</v>
      </c>
      <c r="M203" s="435">
        <f t="shared" si="8"/>
        <v>0</v>
      </c>
      <c r="N203" s="500">
        <f>PERSONAL!N54</f>
        <v>0</v>
      </c>
      <c r="O203" s="436">
        <f t="shared" si="10"/>
        <v>0</v>
      </c>
      <c r="P203" s="436">
        <f t="shared" si="11"/>
        <v>0</v>
      </c>
      <c r="Q203" s="437">
        <f t="shared" si="9"/>
        <v>0</v>
      </c>
      <c r="R203" s="501">
        <f>PERSONAL!Q54</f>
        <v>0</v>
      </c>
      <c r="T203" s="664">
        <v>1</v>
      </c>
      <c r="U203" s="665">
        <v>1</v>
      </c>
      <c r="V203" s="780"/>
      <c r="W203" s="955"/>
      <c r="X203" s="955"/>
      <c r="Y203" s="955"/>
      <c r="Z203" s="955"/>
      <c r="AA203" s="955"/>
      <c r="AB203" s="955"/>
    </row>
    <row r="204" spans="1:28" ht="13.5" x14ac:dyDescent="0.25">
      <c r="A204" s="786">
        <f>PERSONAL!B55</f>
        <v>0</v>
      </c>
      <c r="B204" s="794"/>
      <c r="C204" s="639">
        <f>PERSONAL!D55</f>
        <v>0</v>
      </c>
      <c r="D204" s="786">
        <f>PERSONAL!E55</f>
        <v>0</v>
      </c>
      <c r="E204" s="794"/>
      <c r="F204" s="639">
        <f>PERSONAL!G55</f>
        <v>0</v>
      </c>
      <c r="G204" s="639">
        <f>PERSONAL!H55</f>
        <v>0</v>
      </c>
      <c r="H204" s="639">
        <f>PERSONAL!I55</f>
        <v>0</v>
      </c>
      <c r="I204" s="639">
        <f>PERSONAL!J55</f>
        <v>0</v>
      </c>
      <c r="J204" s="639">
        <f>PERSONAL!K55</f>
        <v>0</v>
      </c>
      <c r="K204" s="639">
        <f>PERSONAL!L55*T204</f>
        <v>0</v>
      </c>
      <c r="L204" s="639">
        <f>PERSONAL!M55*U204</f>
        <v>0</v>
      </c>
      <c r="M204" s="435">
        <f t="shared" si="8"/>
        <v>0</v>
      </c>
      <c r="N204" s="500">
        <f>PERSONAL!N55</f>
        <v>0</v>
      </c>
      <c r="O204" s="436">
        <f t="shared" si="10"/>
        <v>0</v>
      </c>
      <c r="P204" s="436">
        <f t="shared" si="11"/>
        <v>0</v>
      </c>
      <c r="Q204" s="437">
        <f t="shared" si="9"/>
        <v>0</v>
      </c>
      <c r="R204" s="501">
        <f>PERSONAL!Q55</f>
        <v>0</v>
      </c>
      <c r="T204" s="664">
        <v>1</v>
      </c>
      <c r="U204" s="665">
        <v>1</v>
      </c>
      <c r="V204" s="780"/>
      <c r="W204" s="955"/>
      <c r="X204" s="955"/>
      <c r="Y204" s="955"/>
      <c r="Z204" s="955"/>
      <c r="AA204" s="955"/>
      <c r="AB204" s="955"/>
    </row>
    <row r="205" spans="1:28" ht="13.5" x14ac:dyDescent="0.25">
      <c r="A205" s="786">
        <f>PERSONAL!B56</f>
        <v>0</v>
      </c>
      <c r="B205" s="794"/>
      <c r="C205" s="639">
        <f>PERSONAL!D56</f>
        <v>0</v>
      </c>
      <c r="D205" s="786">
        <f>PERSONAL!E56</f>
        <v>0</v>
      </c>
      <c r="E205" s="794"/>
      <c r="F205" s="639">
        <f>PERSONAL!G56</f>
        <v>0</v>
      </c>
      <c r="G205" s="639">
        <f>PERSONAL!H56</f>
        <v>0</v>
      </c>
      <c r="H205" s="639">
        <f>PERSONAL!I56</f>
        <v>0</v>
      </c>
      <c r="I205" s="639">
        <f>PERSONAL!J56</f>
        <v>0</v>
      </c>
      <c r="J205" s="639">
        <f>PERSONAL!K56</f>
        <v>0</v>
      </c>
      <c r="K205" s="639">
        <f>PERSONAL!L56*T205</f>
        <v>0</v>
      </c>
      <c r="L205" s="639">
        <f>PERSONAL!M56*U205</f>
        <v>0</v>
      </c>
      <c r="M205" s="435">
        <f t="shared" si="8"/>
        <v>0</v>
      </c>
      <c r="N205" s="500">
        <f>PERSONAL!N56</f>
        <v>0</v>
      </c>
      <c r="O205" s="436">
        <f t="shared" si="10"/>
        <v>0</v>
      </c>
      <c r="P205" s="436">
        <f t="shared" si="11"/>
        <v>0</v>
      </c>
      <c r="Q205" s="437">
        <f t="shared" si="9"/>
        <v>0</v>
      </c>
      <c r="R205" s="501">
        <f>PERSONAL!Q56</f>
        <v>0</v>
      </c>
      <c r="T205" s="664">
        <v>1</v>
      </c>
      <c r="U205" s="665">
        <v>1</v>
      </c>
      <c r="V205" s="780"/>
      <c r="W205" s="955"/>
      <c r="X205" s="955"/>
      <c r="Y205" s="955"/>
      <c r="Z205" s="955"/>
      <c r="AA205" s="955"/>
      <c r="AB205" s="955"/>
    </row>
    <row r="206" spans="1:28" ht="13.5" x14ac:dyDescent="0.25">
      <c r="A206" s="786">
        <f>PERSONAL!B57</f>
        <v>0</v>
      </c>
      <c r="B206" s="794"/>
      <c r="C206" s="639">
        <f>PERSONAL!D57</f>
        <v>0</v>
      </c>
      <c r="D206" s="786">
        <f>PERSONAL!E57</f>
        <v>0</v>
      </c>
      <c r="E206" s="794"/>
      <c r="F206" s="639">
        <f>PERSONAL!G57</f>
        <v>0</v>
      </c>
      <c r="G206" s="639">
        <f>PERSONAL!H57</f>
        <v>0</v>
      </c>
      <c r="H206" s="639">
        <f>PERSONAL!I57</f>
        <v>0</v>
      </c>
      <c r="I206" s="639">
        <f>PERSONAL!J57</f>
        <v>0</v>
      </c>
      <c r="J206" s="639">
        <f>PERSONAL!K57</f>
        <v>0</v>
      </c>
      <c r="K206" s="639">
        <f>PERSONAL!L57*T206</f>
        <v>0</v>
      </c>
      <c r="L206" s="639">
        <f>PERSONAL!M57*U206</f>
        <v>0</v>
      </c>
      <c r="M206" s="435">
        <f t="shared" si="8"/>
        <v>0</v>
      </c>
      <c r="N206" s="500">
        <f>PERSONAL!N57</f>
        <v>0</v>
      </c>
      <c r="O206" s="436">
        <f t="shared" si="10"/>
        <v>0</v>
      </c>
      <c r="P206" s="436">
        <f t="shared" si="11"/>
        <v>0</v>
      </c>
      <c r="Q206" s="437">
        <f t="shared" si="9"/>
        <v>0</v>
      </c>
      <c r="R206" s="501">
        <f>PERSONAL!Q57</f>
        <v>0</v>
      </c>
      <c r="T206" s="664">
        <v>1</v>
      </c>
      <c r="U206" s="665">
        <v>1</v>
      </c>
      <c r="V206" s="780"/>
      <c r="W206" s="955"/>
      <c r="X206" s="955"/>
      <c r="Y206" s="955"/>
      <c r="Z206" s="955"/>
      <c r="AA206" s="955"/>
      <c r="AB206" s="955"/>
    </row>
    <row r="207" spans="1:28" ht="13.5" x14ac:dyDescent="0.25">
      <c r="A207" s="786">
        <f>PERSONAL!B58</f>
        <v>0</v>
      </c>
      <c r="B207" s="794"/>
      <c r="C207" s="639">
        <f>PERSONAL!D58</f>
        <v>0</v>
      </c>
      <c r="D207" s="786">
        <f>PERSONAL!E58</f>
        <v>0</v>
      </c>
      <c r="E207" s="794"/>
      <c r="F207" s="639">
        <f>PERSONAL!G58</f>
        <v>0</v>
      </c>
      <c r="G207" s="639">
        <f>PERSONAL!H58</f>
        <v>0</v>
      </c>
      <c r="H207" s="639">
        <f>PERSONAL!I58</f>
        <v>0</v>
      </c>
      <c r="I207" s="639">
        <f>PERSONAL!J58</f>
        <v>0</v>
      </c>
      <c r="J207" s="639">
        <f>PERSONAL!K58</f>
        <v>0</v>
      </c>
      <c r="K207" s="639">
        <f>PERSONAL!L58*T207</f>
        <v>0</v>
      </c>
      <c r="L207" s="639">
        <f>PERSONAL!M58*U207</f>
        <v>0</v>
      </c>
      <c r="M207" s="435">
        <f t="shared" si="8"/>
        <v>0</v>
      </c>
      <c r="N207" s="500">
        <f>PERSONAL!N58</f>
        <v>0</v>
      </c>
      <c r="O207" s="436">
        <f t="shared" si="10"/>
        <v>0</v>
      </c>
      <c r="P207" s="436">
        <f t="shared" si="11"/>
        <v>0</v>
      </c>
      <c r="Q207" s="437">
        <f t="shared" si="9"/>
        <v>0</v>
      </c>
      <c r="R207" s="501">
        <f>PERSONAL!Q58</f>
        <v>0</v>
      </c>
      <c r="T207" s="664">
        <v>1</v>
      </c>
      <c r="U207" s="665">
        <v>1</v>
      </c>
      <c r="V207" s="780"/>
      <c r="W207" s="955"/>
      <c r="X207" s="955"/>
      <c r="Y207" s="955"/>
      <c r="Z207" s="955"/>
      <c r="AA207" s="955"/>
      <c r="AB207" s="955"/>
    </row>
    <row r="208" spans="1:28" ht="13.5" x14ac:dyDescent="0.25">
      <c r="A208" s="786">
        <f>PERSONAL!B59</f>
        <v>0</v>
      </c>
      <c r="B208" s="794"/>
      <c r="C208" s="639">
        <f>PERSONAL!D59</f>
        <v>0</v>
      </c>
      <c r="D208" s="786">
        <f>PERSONAL!E59</f>
        <v>0</v>
      </c>
      <c r="E208" s="794"/>
      <c r="F208" s="639">
        <f>PERSONAL!G59</f>
        <v>0</v>
      </c>
      <c r="G208" s="639">
        <f>PERSONAL!H59</f>
        <v>0</v>
      </c>
      <c r="H208" s="639">
        <f>PERSONAL!I59</f>
        <v>0</v>
      </c>
      <c r="I208" s="639">
        <f>PERSONAL!J59</f>
        <v>0</v>
      </c>
      <c r="J208" s="639">
        <f>PERSONAL!K59</f>
        <v>0</v>
      </c>
      <c r="K208" s="639">
        <f>PERSONAL!L59*T208</f>
        <v>0</v>
      </c>
      <c r="L208" s="639">
        <f>PERSONAL!M59*U208</f>
        <v>0</v>
      </c>
      <c r="M208" s="435">
        <f t="shared" si="8"/>
        <v>0</v>
      </c>
      <c r="N208" s="500">
        <f>PERSONAL!N59</f>
        <v>0</v>
      </c>
      <c r="O208" s="436">
        <f t="shared" si="10"/>
        <v>0</v>
      </c>
      <c r="P208" s="436">
        <f t="shared" si="11"/>
        <v>0</v>
      </c>
      <c r="Q208" s="437">
        <f t="shared" si="9"/>
        <v>0</v>
      </c>
      <c r="R208" s="501">
        <f>PERSONAL!Q59</f>
        <v>0</v>
      </c>
      <c r="T208" s="664">
        <v>1</v>
      </c>
      <c r="U208" s="665">
        <v>1</v>
      </c>
      <c r="V208" s="780"/>
      <c r="W208" s="955"/>
      <c r="X208" s="955"/>
      <c r="Y208" s="955"/>
      <c r="Z208" s="955"/>
      <c r="AA208" s="955"/>
      <c r="AB208" s="955"/>
    </row>
    <row r="209" spans="1:28" ht="13.5" x14ac:dyDescent="0.25">
      <c r="A209" s="786">
        <f>PERSONAL!B60</f>
        <v>0</v>
      </c>
      <c r="B209" s="794"/>
      <c r="C209" s="639">
        <f>PERSONAL!D60</f>
        <v>0</v>
      </c>
      <c r="D209" s="786">
        <f>PERSONAL!E60</f>
        <v>0</v>
      </c>
      <c r="E209" s="794"/>
      <c r="F209" s="639">
        <f>PERSONAL!G60</f>
        <v>0</v>
      </c>
      <c r="G209" s="639">
        <f>PERSONAL!H60</f>
        <v>0</v>
      </c>
      <c r="H209" s="639">
        <f>PERSONAL!I60</f>
        <v>0</v>
      </c>
      <c r="I209" s="639">
        <f>PERSONAL!J60</f>
        <v>0</v>
      </c>
      <c r="J209" s="639">
        <f>PERSONAL!K60</f>
        <v>0</v>
      </c>
      <c r="K209" s="639">
        <f>PERSONAL!L60*T209</f>
        <v>0</v>
      </c>
      <c r="L209" s="639">
        <f>PERSONAL!M60*U209</f>
        <v>0</v>
      </c>
      <c r="M209" s="435">
        <f t="shared" si="8"/>
        <v>0</v>
      </c>
      <c r="N209" s="500">
        <f>PERSONAL!N60</f>
        <v>0</v>
      </c>
      <c r="O209" s="436">
        <f t="shared" si="10"/>
        <v>0</v>
      </c>
      <c r="P209" s="436">
        <f t="shared" si="11"/>
        <v>0</v>
      </c>
      <c r="Q209" s="437">
        <f t="shared" si="9"/>
        <v>0</v>
      </c>
      <c r="R209" s="501">
        <f>PERSONAL!Q60</f>
        <v>0</v>
      </c>
      <c r="T209" s="664">
        <v>1</v>
      </c>
      <c r="U209" s="665">
        <v>1</v>
      </c>
      <c r="V209" s="780"/>
      <c r="W209" s="955"/>
      <c r="X209" s="955"/>
      <c r="Y209" s="955"/>
      <c r="Z209" s="955"/>
      <c r="AA209" s="955"/>
      <c r="AB209" s="955"/>
    </row>
    <row r="210" spans="1:28" ht="13.5" x14ac:dyDescent="0.25">
      <c r="A210" s="786">
        <f>PERSONAL!B61</f>
        <v>0</v>
      </c>
      <c r="B210" s="794"/>
      <c r="C210" s="639">
        <f>PERSONAL!D61</f>
        <v>0</v>
      </c>
      <c r="D210" s="786">
        <f>PERSONAL!E61</f>
        <v>0</v>
      </c>
      <c r="E210" s="794"/>
      <c r="F210" s="639">
        <f>PERSONAL!G61</f>
        <v>0</v>
      </c>
      <c r="G210" s="639">
        <f>PERSONAL!H61</f>
        <v>0</v>
      </c>
      <c r="H210" s="639">
        <f>PERSONAL!I61</f>
        <v>0</v>
      </c>
      <c r="I210" s="639">
        <f>PERSONAL!J61</f>
        <v>0</v>
      </c>
      <c r="J210" s="639">
        <f>PERSONAL!K61</f>
        <v>0</v>
      </c>
      <c r="K210" s="639">
        <f>PERSONAL!L61*T210</f>
        <v>0</v>
      </c>
      <c r="L210" s="639">
        <f>PERSONAL!M61*U210</f>
        <v>0</v>
      </c>
      <c r="M210" s="435">
        <f t="shared" si="8"/>
        <v>0</v>
      </c>
      <c r="N210" s="500">
        <f>PERSONAL!N61</f>
        <v>0</v>
      </c>
      <c r="O210" s="436">
        <f t="shared" si="10"/>
        <v>0</v>
      </c>
      <c r="P210" s="436">
        <f t="shared" si="11"/>
        <v>0</v>
      </c>
      <c r="Q210" s="437">
        <f t="shared" si="9"/>
        <v>0</v>
      </c>
      <c r="R210" s="501">
        <f>PERSONAL!Q61</f>
        <v>0</v>
      </c>
      <c r="T210" s="664">
        <v>1</v>
      </c>
      <c r="U210" s="665">
        <v>1</v>
      </c>
      <c r="V210" s="780"/>
      <c r="W210" s="955"/>
      <c r="X210" s="955"/>
      <c r="Y210" s="955"/>
      <c r="Z210" s="955"/>
      <c r="AA210" s="955"/>
      <c r="AB210" s="955"/>
    </row>
    <row r="211" spans="1:28" ht="13.5" x14ac:dyDescent="0.25">
      <c r="A211" s="786">
        <f>PERSONAL!B62</f>
        <v>0</v>
      </c>
      <c r="B211" s="794"/>
      <c r="C211" s="639">
        <f>PERSONAL!D62</f>
        <v>0</v>
      </c>
      <c r="D211" s="786">
        <f>PERSONAL!E62</f>
        <v>0</v>
      </c>
      <c r="E211" s="794"/>
      <c r="F211" s="639">
        <f>PERSONAL!G62</f>
        <v>0</v>
      </c>
      <c r="G211" s="639">
        <f>PERSONAL!H62</f>
        <v>0</v>
      </c>
      <c r="H211" s="639">
        <f>PERSONAL!I62</f>
        <v>0</v>
      </c>
      <c r="I211" s="639">
        <f>PERSONAL!J62</f>
        <v>0</v>
      </c>
      <c r="J211" s="639">
        <f>PERSONAL!K62</f>
        <v>0</v>
      </c>
      <c r="K211" s="639">
        <f>PERSONAL!L62*T211</f>
        <v>0</v>
      </c>
      <c r="L211" s="639">
        <f>PERSONAL!M62*U211</f>
        <v>0</v>
      </c>
      <c r="M211" s="435">
        <f t="shared" si="8"/>
        <v>0</v>
      </c>
      <c r="N211" s="500">
        <f>PERSONAL!N62</f>
        <v>0</v>
      </c>
      <c r="O211" s="436">
        <f t="shared" si="10"/>
        <v>0</v>
      </c>
      <c r="P211" s="436">
        <f t="shared" si="11"/>
        <v>0</v>
      </c>
      <c r="Q211" s="437">
        <f t="shared" si="9"/>
        <v>0</v>
      </c>
      <c r="R211" s="501">
        <f>PERSONAL!Q62</f>
        <v>0</v>
      </c>
      <c r="T211" s="664">
        <v>1</v>
      </c>
      <c r="U211" s="665">
        <v>1</v>
      </c>
      <c r="V211" s="780"/>
      <c r="W211" s="955"/>
      <c r="X211" s="955"/>
      <c r="Y211" s="955"/>
      <c r="Z211" s="955"/>
      <c r="AA211" s="955"/>
      <c r="AB211" s="955"/>
    </row>
    <row r="212" spans="1:28" ht="13.5" x14ac:dyDescent="0.25">
      <c r="A212" s="786">
        <f>PERSONAL!B63</f>
        <v>0</v>
      </c>
      <c r="B212" s="794"/>
      <c r="C212" s="639">
        <f>PERSONAL!D63</f>
        <v>0</v>
      </c>
      <c r="D212" s="786">
        <f>PERSONAL!E63</f>
        <v>0</v>
      </c>
      <c r="E212" s="794"/>
      <c r="F212" s="639">
        <f>PERSONAL!G63</f>
        <v>0</v>
      </c>
      <c r="G212" s="639">
        <f>PERSONAL!H63</f>
        <v>0</v>
      </c>
      <c r="H212" s="639">
        <f>PERSONAL!I63</f>
        <v>0</v>
      </c>
      <c r="I212" s="639">
        <f>PERSONAL!J63</f>
        <v>0</v>
      </c>
      <c r="J212" s="639">
        <f>PERSONAL!K63</f>
        <v>0</v>
      </c>
      <c r="K212" s="639">
        <f>PERSONAL!L63*T212</f>
        <v>0</v>
      </c>
      <c r="L212" s="639">
        <f>PERSONAL!M63*U212</f>
        <v>0</v>
      </c>
      <c r="M212" s="435">
        <f t="shared" si="8"/>
        <v>0</v>
      </c>
      <c r="N212" s="500">
        <f>PERSONAL!N63</f>
        <v>0</v>
      </c>
      <c r="O212" s="436">
        <f t="shared" si="10"/>
        <v>0</v>
      </c>
      <c r="P212" s="436">
        <f t="shared" si="11"/>
        <v>0</v>
      </c>
      <c r="Q212" s="437">
        <f t="shared" si="9"/>
        <v>0</v>
      </c>
      <c r="R212" s="501">
        <f>PERSONAL!Q63</f>
        <v>0</v>
      </c>
      <c r="T212" s="664">
        <v>1</v>
      </c>
      <c r="U212" s="665">
        <v>1</v>
      </c>
      <c r="V212" s="780"/>
      <c r="W212" s="955"/>
      <c r="X212" s="955"/>
      <c r="Y212" s="955"/>
      <c r="Z212" s="955"/>
      <c r="AA212" s="955"/>
      <c r="AB212" s="955"/>
    </row>
    <row r="213" spans="1:28" ht="13.5" x14ac:dyDescent="0.25">
      <c r="A213" s="786">
        <f>PERSONAL!B64</f>
        <v>0</v>
      </c>
      <c r="B213" s="794"/>
      <c r="C213" s="639">
        <f>PERSONAL!D64</f>
        <v>0</v>
      </c>
      <c r="D213" s="786">
        <f>PERSONAL!E64</f>
        <v>0</v>
      </c>
      <c r="E213" s="794"/>
      <c r="F213" s="639">
        <f>PERSONAL!G64</f>
        <v>0</v>
      </c>
      <c r="G213" s="639">
        <f>PERSONAL!H64</f>
        <v>0</v>
      </c>
      <c r="H213" s="639">
        <f>PERSONAL!I64</f>
        <v>0</v>
      </c>
      <c r="I213" s="639">
        <f>PERSONAL!J64</f>
        <v>0</v>
      </c>
      <c r="J213" s="639">
        <f>PERSONAL!K64</f>
        <v>0</v>
      </c>
      <c r="K213" s="639">
        <f>PERSONAL!L64*T213</f>
        <v>0</v>
      </c>
      <c r="L213" s="639">
        <f>PERSONAL!M64*U213</f>
        <v>0</v>
      </c>
      <c r="M213" s="435">
        <f t="shared" si="8"/>
        <v>0</v>
      </c>
      <c r="N213" s="500">
        <f>PERSONAL!N64</f>
        <v>0</v>
      </c>
      <c r="O213" s="436">
        <f t="shared" si="10"/>
        <v>0</v>
      </c>
      <c r="P213" s="436">
        <f t="shared" si="11"/>
        <v>0</v>
      </c>
      <c r="Q213" s="437">
        <f t="shared" si="9"/>
        <v>0</v>
      </c>
      <c r="R213" s="501">
        <f>PERSONAL!Q64</f>
        <v>0</v>
      </c>
      <c r="T213" s="664">
        <v>1</v>
      </c>
      <c r="U213" s="665">
        <v>1</v>
      </c>
      <c r="V213" s="780"/>
      <c r="W213" s="955"/>
      <c r="X213" s="955"/>
      <c r="Y213" s="955"/>
      <c r="Z213" s="955"/>
      <c r="AA213" s="955"/>
      <c r="AB213" s="955"/>
    </row>
    <row r="214" spans="1:28" ht="13.5" x14ac:dyDescent="0.25">
      <c r="A214" s="786">
        <f>PERSONAL!B65</f>
        <v>0</v>
      </c>
      <c r="B214" s="794"/>
      <c r="C214" s="639">
        <f>PERSONAL!D65</f>
        <v>0</v>
      </c>
      <c r="D214" s="786">
        <f>PERSONAL!E65</f>
        <v>0</v>
      </c>
      <c r="E214" s="794"/>
      <c r="F214" s="639">
        <f>PERSONAL!G65</f>
        <v>0</v>
      </c>
      <c r="G214" s="639">
        <f>PERSONAL!H65</f>
        <v>0</v>
      </c>
      <c r="H214" s="639">
        <f>PERSONAL!I65</f>
        <v>0</v>
      </c>
      <c r="I214" s="639">
        <f>PERSONAL!J65</f>
        <v>0</v>
      </c>
      <c r="J214" s="639">
        <f>PERSONAL!K65</f>
        <v>0</v>
      </c>
      <c r="K214" s="639">
        <f>PERSONAL!L65*T214</f>
        <v>0</v>
      </c>
      <c r="L214" s="639">
        <f>PERSONAL!M65*U214</f>
        <v>0</v>
      </c>
      <c r="M214" s="435">
        <f t="shared" si="8"/>
        <v>0</v>
      </c>
      <c r="N214" s="500">
        <f>PERSONAL!N65</f>
        <v>0</v>
      </c>
      <c r="O214" s="436">
        <f t="shared" si="10"/>
        <v>0</v>
      </c>
      <c r="P214" s="436">
        <f t="shared" si="11"/>
        <v>0</v>
      </c>
      <c r="Q214" s="437">
        <f t="shared" si="9"/>
        <v>0</v>
      </c>
      <c r="R214" s="501">
        <f>PERSONAL!Q65</f>
        <v>0</v>
      </c>
      <c r="T214" s="664">
        <v>1</v>
      </c>
      <c r="U214" s="665">
        <v>1</v>
      </c>
      <c r="V214" s="780"/>
      <c r="W214" s="955"/>
      <c r="X214" s="955"/>
      <c r="Y214" s="955"/>
      <c r="Z214" s="955"/>
      <c r="AA214" s="955"/>
      <c r="AB214" s="955"/>
    </row>
    <row r="215" spans="1:28" ht="13.5" x14ac:dyDescent="0.25">
      <c r="A215" s="786">
        <f>PERSONAL!B66</f>
        <v>0</v>
      </c>
      <c r="B215" s="794"/>
      <c r="C215" s="639">
        <f>PERSONAL!D66</f>
        <v>0</v>
      </c>
      <c r="D215" s="786">
        <f>PERSONAL!E66</f>
        <v>0</v>
      </c>
      <c r="E215" s="794"/>
      <c r="F215" s="639">
        <f>PERSONAL!G66</f>
        <v>0</v>
      </c>
      <c r="G215" s="639">
        <f>PERSONAL!H66</f>
        <v>0</v>
      </c>
      <c r="H215" s="639">
        <f>PERSONAL!I66</f>
        <v>0</v>
      </c>
      <c r="I215" s="639">
        <f>PERSONAL!J66</f>
        <v>0</v>
      </c>
      <c r="J215" s="639">
        <f>PERSONAL!K66</f>
        <v>0</v>
      </c>
      <c r="K215" s="639">
        <f>PERSONAL!L66*T215</f>
        <v>0</v>
      </c>
      <c r="L215" s="639">
        <f>PERSONAL!M66*U215</f>
        <v>0</v>
      </c>
      <c r="M215" s="435">
        <f t="shared" si="8"/>
        <v>0</v>
      </c>
      <c r="N215" s="500">
        <f>PERSONAL!N66</f>
        <v>0</v>
      </c>
      <c r="O215" s="436">
        <f t="shared" si="10"/>
        <v>0</v>
      </c>
      <c r="P215" s="436">
        <f t="shared" si="11"/>
        <v>0</v>
      </c>
      <c r="Q215" s="437">
        <f t="shared" si="9"/>
        <v>0</v>
      </c>
      <c r="R215" s="501">
        <f>PERSONAL!Q66</f>
        <v>0</v>
      </c>
      <c r="T215" s="664">
        <v>1</v>
      </c>
      <c r="U215" s="665">
        <v>1</v>
      </c>
      <c r="V215" s="780"/>
      <c r="W215" s="955"/>
      <c r="X215" s="955"/>
      <c r="Y215" s="955"/>
      <c r="Z215" s="955"/>
      <c r="AA215" s="955"/>
      <c r="AB215" s="955"/>
    </row>
    <row r="216" spans="1:28" ht="13.5" x14ac:dyDescent="0.25">
      <c r="A216" s="786">
        <f>PERSONAL!B67</f>
        <v>0</v>
      </c>
      <c r="B216" s="794"/>
      <c r="C216" s="639">
        <f>PERSONAL!D67</f>
        <v>0</v>
      </c>
      <c r="D216" s="786">
        <f>PERSONAL!E67</f>
        <v>0</v>
      </c>
      <c r="E216" s="794"/>
      <c r="F216" s="639">
        <f>PERSONAL!G67</f>
        <v>0</v>
      </c>
      <c r="G216" s="639">
        <f>PERSONAL!H67</f>
        <v>0</v>
      </c>
      <c r="H216" s="639">
        <f>PERSONAL!I67</f>
        <v>0</v>
      </c>
      <c r="I216" s="639">
        <f>PERSONAL!J67</f>
        <v>0</v>
      </c>
      <c r="J216" s="639">
        <f>PERSONAL!K67</f>
        <v>0</v>
      </c>
      <c r="K216" s="639">
        <f>PERSONAL!L67*T216</f>
        <v>0</v>
      </c>
      <c r="L216" s="639">
        <f>PERSONAL!M67*U216</f>
        <v>0</v>
      </c>
      <c r="M216" s="435">
        <f t="shared" si="8"/>
        <v>0</v>
      </c>
      <c r="N216" s="500">
        <f>PERSONAL!N67</f>
        <v>0</v>
      </c>
      <c r="O216" s="436">
        <f t="shared" si="10"/>
        <v>0</v>
      </c>
      <c r="P216" s="436">
        <f t="shared" si="11"/>
        <v>0</v>
      </c>
      <c r="Q216" s="437">
        <f t="shared" si="9"/>
        <v>0</v>
      </c>
      <c r="R216" s="501">
        <f>PERSONAL!Q67</f>
        <v>0</v>
      </c>
      <c r="T216" s="664">
        <v>1</v>
      </c>
      <c r="U216" s="665">
        <v>1</v>
      </c>
      <c r="V216" s="780"/>
      <c r="W216" s="955"/>
      <c r="X216" s="955"/>
      <c r="Y216" s="955"/>
      <c r="Z216" s="955"/>
      <c r="AA216" s="955"/>
      <c r="AB216" s="955"/>
    </row>
    <row r="217" spans="1:28" ht="13.5" x14ac:dyDescent="0.25">
      <c r="A217" s="786">
        <f>PERSONAL!B68</f>
        <v>0</v>
      </c>
      <c r="B217" s="794"/>
      <c r="C217" s="639">
        <f>PERSONAL!D68</f>
        <v>0</v>
      </c>
      <c r="D217" s="786">
        <f>PERSONAL!E68</f>
        <v>0</v>
      </c>
      <c r="E217" s="794"/>
      <c r="F217" s="639">
        <f>PERSONAL!G68</f>
        <v>0</v>
      </c>
      <c r="G217" s="639">
        <f>PERSONAL!H68</f>
        <v>0</v>
      </c>
      <c r="H217" s="639">
        <f>PERSONAL!I68</f>
        <v>0</v>
      </c>
      <c r="I217" s="639">
        <f>PERSONAL!J68</f>
        <v>0</v>
      </c>
      <c r="J217" s="639">
        <f>PERSONAL!K68</f>
        <v>0</v>
      </c>
      <c r="K217" s="639">
        <f>PERSONAL!L68*T217</f>
        <v>0</v>
      </c>
      <c r="L217" s="639">
        <f>PERSONAL!M68*U217</f>
        <v>0</v>
      </c>
      <c r="M217" s="435">
        <f t="shared" si="8"/>
        <v>0</v>
      </c>
      <c r="N217" s="500">
        <f>PERSONAL!N68</f>
        <v>0</v>
      </c>
      <c r="O217" s="436">
        <f t="shared" si="10"/>
        <v>0</v>
      </c>
      <c r="P217" s="436">
        <f t="shared" si="11"/>
        <v>0</v>
      </c>
      <c r="Q217" s="437">
        <f t="shared" si="9"/>
        <v>0</v>
      </c>
      <c r="R217" s="501">
        <f>PERSONAL!Q68</f>
        <v>0</v>
      </c>
      <c r="T217" s="664">
        <v>1</v>
      </c>
      <c r="U217" s="665">
        <v>1</v>
      </c>
      <c r="V217" s="780"/>
      <c r="W217" s="955"/>
      <c r="X217" s="955"/>
      <c r="Y217" s="955"/>
      <c r="Z217" s="955"/>
      <c r="AA217" s="955"/>
      <c r="AB217" s="955"/>
    </row>
    <row r="218" spans="1:28" ht="13.5" x14ac:dyDescent="0.25">
      <c r="A218" s="786">
        <f>PERSONAL!B69</f>
        <v>0</v>
      </c>
      <c r="B218" s="794"/>
      <c r="C218" s="639">
        <f>PERSONAL!D69</f>
        <v>0</v>
      </c>
      <c r="D218" s="786">
        <f>PERSONAL!E69</f>
        <v>0</v>
      </c>
      <c r="E218" s="794"/>
      <c r="F218" s="639">
        <f>PERSONAL!G69</f>
        <v>0</v>
      </c>
      <c r="G218" s="639">
        <f>PERSONAL!H69</f>
        <v>0</v>
      </c>
      <c r="H218" s="639">
        <f>PERSONAL!I69</f>
        <v>0</v>
      </c>
      <c r="I218" s="639">
        <f>PERSONAL!J69</f>
        <v>0</v>
      </c>
      <c r="J218" s="639">
        <f>PERSONAL!K69</f>
        <v>0</v>
      </c>
      <c r="K218" s="639">
        <f>PERSONAL!L69*T218</f>
        <v>0</v>
      </c>
      <c r="L218" s="639">
        <f>PERSONAL!M69*U218</f>
        <v>0</v>
      </c>
      <c r="M218" s="435">
        <f t="shared" si="8"/>
        <v>0</v>
      </c>
      <c r="N218" s="500">
        <f>PERSONAL!N69</f>
        <v>0</v>
      </c>
      <c r="O218" s="436">
        <f t="shared" si="10"/>
        <v>0</v>
      </c>
      <c r="P218" s="436">
        <f t="shared" si="11"/>
        <v>0</v>
      </c>
      <c r="Q218" s="437">
        <f t="shared" si="9"/>
        <v>0</v>
      </c>
      <c r="R218" s="501">
        <f>PERSONAL!Q69</f>
        <v>0</v>
      </c>
      <c r="T218" s="664">
        <v>1</v>
      </c>
      <c r="U218" s="665">
        <v>1</v>
      </c>
      <c r="V218" s="780"/>
      <c r="W218" s="955"/>
      <c r="X218" s="955"/>
      <c r="Y218" s="955"/>
      <c r="Z218" s="955"/>
      <c r="AA218" s="955"/>
      <c r="AB218" s="955"/>
    </row>
    <row r="219" spans="1:28" ht="13.5" x14ac:dyDescent="0.25">
      <c r="A219" s="786">
        <f>PERSONAL!B70</f>
        <v>0</v>
      </c>
      <c r="B219" s="794"/>
      <c r="C219" s="639">
        <f>PERSONAL!D70</f>
        <v>0</v>
      </c>
      <c r="D219" s="786">
        <f>PERSONAL!E70</f>
        <v>0</v>
      </c>
      <c r="E219" s="794"/>
      <c r="F219" s="639">
        <f>PERSONAL!G70</f>
        <v>0</v>
      </c>
      <c r="G219" s="639">
        <f>PERSONAL!H70</f>
        <v>0</v>
      </c>
      <c r="H219" s="639">
        <f>PERSONAL!I70</f>
        <v>0</v>
      </c>
      <c r="I219" s="639">
        <f>PERSONAL!J70</f>
        <v>0</v>
      </c>
      <c r="J219" s="639">
        <f>PERSONAL!K70</f>
        <v>0</v>
      </c>
      <c r="K219" s="639">
        <f>PERSONAL!L70*T219</f>
        <v>0</v>
      </c>
      <c r="L219" s="639">
        <f>PERSONAL!M70*U219</f>
        <v>0</v>
      </c>
      <c r="M219" s="435">
        <f t="shared" si="8"/>
        <v>0</v>
      </c>
      <c r="N219" s="500">
        <f>PERSONAL!N70</f>
        <v>0</v>
      </c>
      <c r="O219" s="436">
        <f t="shared" si="10"/>
        <v>0</v>
      </c>
      <c r="P219" s="436">
        <f t="shared" si="11"/>
        <v>0</v>
      </c>
      <c r="Q219" s="437">
        <f t="shared" si="9"/>
        <v>0</v>
      </c>
      <c r="R219" s="501">
        <f>PERSONAL!Q70</f>
        <v>0</v>
      </c>
      <c r="T219" s="664">
        <v>1</v>
      </c>
      <c r="U219" s="665">
        <v>1</v>
      </c>
      <c r="V219" s="780"/>
      <c r="W219" s="955"/>
      <c r="X219" s="955"/>
      <c r="Y219" s="955"/>
      <c r="Z219" s="955"/>
      <c r="AA219" s="955"/>
      <c r="AB219" s="955"/>
    </row>
    <row r="220" spans="1:28" ht="13.5" x14ac:dyDescent="0.25">
      <c r="A220" s="786">
        <f>PERSONAL!B71</f>
        <v>0</v>
      </c>
      <c r="B220" s="794"/>
      <c r="C220" s="639">
        <f>PERSONAL!D71</f>
        <v>0</v>
      </c>
      <c r="D220" s="786">
        <f>PERSONAL!E71</f>
        <v>0</v>
      </c>
      <c r="E220" s="794"/>
      <c r="F220" s="639">
        <f>PERSONAL!G71</f>
        <v>0</v>
      </c>
      <c r="G220" s="639">
        <f>PERSONAL!H71</f>
        <v>0</v>
      </c>
      <c r="H220" s="639">
        <f>PERSONAL!I71</f>
        <v>0</v>
      </c>
      <c r="I220" s="639">
        <f>PERSONAL!J71</f>
        <v>0</v>
      </c>
      <c r="J220" s="639">
        <f>PERSONAL!K71</f>
        <v>0</v>
      </c>
      <c r="K220" s="639">
        <f>PERSONAL!L71*T220</f>
        <v>0</v>
      </c>
      <c r="L220" s="639">
        <f>PERSONAL!M71*U220</f>
        <v>0</v>
      </c>
      <c r="M220" s="435">
        <f t="shared" si="8"/>
        <v>0</v>
      </c>
      <c r="N220" s="500">
        <f>PERSONAL!N71</f>
        <v>0</v>
      </c>
      <c r="O220" s="436">
        <f t="shared" si="10"/>
        <v>0</v>
      </c>
      <c r="P220" s="436">
        <f t="shared" si="11"/>
        <v>0</v>
      </c>
      <c r="Q220" s="437">
        <f t="shared" si="9"/>
        <v>0</v>
      </c>
      <c r="R220" s="501">
        <f>PERSONAL!Q71</f>
        <v>0</v>
      </c>
      <c r="T220" s="664">
        <v>1</v>
      </c>
      <c r="U220" s="665">
        <v>1</v>
      </c>
      <c r="V220" s="780"/>
      <c r="W220" s="955"/>
      <c r="X220" s="955"/>
      <c r="Y220" s="955"/>
      <c r="Z220" s="955"/>
      <c r="AA220" s="955"/>
      <c r="AB220" s="955"/>
    </row>
    <row r="221" spans="1:28" ht="13.5" x14ac:dyDescent="0.25">
      <c r="A221" s="786">
        <f>PERSONAL!B72</f>
        <v>0</v>
      </c>
      <c r="B221" s="794"/>
      <c r="C221" s="639">
        <f>PERSONAL!D72</f>
        <v>0</v>
      </c>
      <c r="D221" s="786">
        <f>PERSONAL!E72</f>
        <v>0</v>
      </c>
      <c r="E221" s="794"/>
      <c r="F221" s="639">
        <f>PERSONAL!G72</f>
        <v>0</v>
      </c>
      <c r="G221" s="639">
        <f>PERSONAL!H72</f>
        <v>0</v>
      </c>
      <c r="H221" s="639">
        <f>PERSONAL!I72</f>
        <v>0</v>
      </c>
      <c r="I221" s="639">
        <f>PERSONAL!J72</f>
        <v>0</v>
      </c>
      <c r="J221" s="639">
        <f>PERSONAL!K72</f>
        <v>0</v>
      </c>
      <c r="K221" s="639">
        <f>PERSONAL!L72*T221</f>
        <v>0</v>
      </c>
      <c r="L221" s="639">
        <f>PERSONAL!M72*U221</f>
        <v>0</v>
      </c>
      <c r="M221" s="435">
        <f t="shared" si="8"/>
        <v>0</v>
      </c>
      <c r="N221" s="500">
        <f>PERSONAL!N72</f>
        <v>0</v>
      </c>
      <c r="O221" s="436">
        <f t="shared" si="10"/>
        <v>0</v>
      </c>
      <c r="P221" s="436">
        <f t="shared" si="11"/>
        <v>0</v>
      </c>
      <c r="Q221" s="437">
        <f t="shared" si="9"/>
        <v>0</v>
      </c>
      <c r="R221" s="501">
        <f>PERSONAL!Q72</f>
        <v>0</v>
      </c>
      <c r="T221" s="664">
        <v>1</v>
      </c>
      <c r="U221" s="665">
        <v>1</v>
      </c>
      <c r="V221" s="780"/>
      <c r="W221" s="955"/>
      <c r="X221" s="955"/>
      <c r="Y221" s="955"/>
      <c r="Z221" s="955"/>
      <c r="AA221" s="955"/>
      <c r="AB221" s="955"/>
    </row>
    <row r="222" spans="1:28" ht="13.5" x14ac:dyDescent="0.25">
      <c r="A222" s="786">
        <f>PERSONAL!B73</f>
        <v>0</v>
      </c>
      <c r="B222" s="794"/>
      <c r="C222" s="639">
        <f>PERSONAL!D73</f>
        <v>0</v>
      </c>
      <c r="D222" s="786">
        <f>PERSONAL!E73</f>
        <v>0</v>
      </c>
      <c r="E222" s="794"/>
      <c r="F222" s="639">
        <f>PERSONAL!G73</f>
        <v>0</v>
      </c>
      <c r="G222" s="639">
        <f>PERSONAL!H73</f>
        <v>0</v>
      </c>
      <c r="H222" s="639">
        <f>PERSONAL!I73</f>
        <v>0</v>
      </c>
      <c r="I222" s="639">
        <f>PERSONAL!J73</f>
        <v>0</v>
      </c>
      <c r="J222" s="639">
        <f>PERSONAL!K73</f>
        <v>0</v>
      </c>
      <c r="K222" s="639">
        <f>PERSONAL!L73*T222</f>
        <v>0</v>
      </c>
      <c r="L222" s="639">
        <f>PERSONAL!M73*U222</f>
        <v>0</v>
      </c>
      <c r="M222" s="435">
        <f t="shared" si="8"/>
        <v>0</v>
      </c>
      <c r="N222" s="500">
        <f>PERSONAL!N73</f>
        <v>0</v>
      </c>
      <c r="O222" s="436">
        <f t="shared" si="10"/>
        <v>0</v>
      </c>
      <c r="P222" s="436">
        <f t="shared" si="11"/>
        <v>0</v>
      </c>
      <c r="Q222" s="437">
        <f t="shared" si="9"/>
        <v>0</v>
      </c>
      <c r="R222" s="501">
        <f>PERSONAL!Q73</f>
        <v>0</v>
      </c>
      <c r="T222" s="664">
        <v>1</v>
      </c>
      <c r="U222" s="665">
        <v>1</v>
      </c>
      <c r="V222" s="780"/>
      <c r="W222" s="955"/>
      <c r="X222" s="955"/>
      <c r="Y222" s="955"/>
      <c r="Z222" s="955"/>
      <c r="AA222" s="955"/>
      <c r="AB222" s="955"/>
    </row>
    <row r="223" spans="1:28" ht="13.5" x14ac:dyDescent="0.25">
      <c r="A223" s="786">
        <f>PERSONAL!B74</f>
        <v>0</v>
      </c>
      <c r="B223" s="794"/>
      <c r="C223" s="639">
        <f>PERSONAL!D74</f>
        <v>0</v>
      </c>
      <c r="D223" s="786">
        <f>PERSONAL!E74</f>
        <v>0</v>
      </c>
      <c r="E223" s="794"/>
      <c r="F223" s="639">
        <f>PERSONAL!G74</f>
        <v>0</v>
      </c>
      <c r="G223" s="639">
        <f>PERSONAL!H74</f>
        <v>0</v>
      </c>
      <c r="H223" s="639">
        <f>PERSONAL!I74</f>
        <v>0</v>
      </c>
      <c r="I223" s="639">
        <f>PERSONAL!J74</f>
        <v>0</v>
      </c>
      <c r="J223" s="639">
        <f>PERSONAL!K74</f>
        <v>0</v>
      </c>
      <c r="K223" s="639">
        <f>PERSONAL!L74*T223</f>
        <v>0</v>
      </c>
      <c r="L223" s="639">
        <f>PERSONAL!M74*U223</f>
        <v>0</v>
      </c>
      <c r="M223" s="435">
        <f t="shared" si="8"/>
        <v>0</v>
      </c>
      <c r="N223" s="500">
        <f>PERSONAL!N74</f>
        <v>0</v>
      </c>
      <c r="O223" s="436">
        <f t="shared" si="10"/>
        <v>0</v>
      </c>
      <c r="P223" s="436">
        <f t="shared" si="11"/>
        <v>0</v>
      </c>
      <c r="Q223" s="437">
        <f t="shared" si="9"/>
        <v>0</v>
      </c>
      <c r="R223" s="501">
        <f>PERSONAL!Q74</f>
        <v>0</v>
      </c>
      <c r="T223" s="664">
        <v>1</v>
      </c>
      <c r="U223" s="665">
        <v>1</v>
      </c>
      <c r="V223" s="780"/>
      <c r="W223" s="955"/>
      <c r="X223" s="955"/>
      <c r="Y223" s="955"/>
      <c r="Z223" s="955"/>
      <c r="AA223" s="955"/>
      <c r="AB223" s="955"/>
    </row>
    <row r="224" spans="1:28" ht="13.5" x14ac:dyDescent="0.25">
      <c r="A224" s="786">
        <f>PERSONAL!B75</f>
        <v>0</v>
      </c>
      <c r="B224" s="794"/>
      <c r="C224" s="639">
        <f>PERSONAL!D75</f>
        <v>0</v>
      </c>
      <c r="D224" s="786">
        <f>PERSONAL!E75</f>
        <v>0</v>
      </c>
      <c r="E224" s="794"/>
      <c r="F224" s="639">
        <f>PERSONAL!G75</f>
        <v>0</v>
      </c>
      <c r="G224" s="639">
        <f>PERSONAL!H75</f>
        <v>0</v>
      </c>
      <c r="H224" s="639">
        <f>PERSONAL!I75</f>
        <v>0</v>
      </c>
      <c r="I224" s="639">
        <f>PERSONAL!J75</f>
        <v>0</v>
      </c>
      <c r="J224" s="639">
        <f>PERSONAL!K75</f>
        <v>0</v>
      </c>
      <c r="K224" s="639">
        <f>PERSONAL!L75*T224</f>
        <v>0</v>
      </c>
      <c r="L224" s="639">
        <f>PERSONAL!M75*U224</f>
        <v>0</v>
      </c>
      <c r="M224" s="435">
        <f t="shared" si="8"/>
        <v>0</v>
      </c>
      <c r="N224" s="500">
        <f>PERSONAL!N75</f>
        <v>0</v>
      </c>
      <c r="O224" s="436">
        <f t="shared" si="10"/>
        <v>0</v>
      </c>
      <c r="P224" s="436">
        <f t="shared" si="11"/>
        <v>0</v>
      </c>
      <c r="Q224" s="437">
        <f t="shared" si="9"/>
        <v>0</v>
      </c>
      <c r="R224" s="501">
        <f>PERSONAL!Q75</f>
        <v>0</v>
      </c>
      <c r="T224" s="664">
        <v>1</v>
      </c>
      <c r="U224" s="665">
        <v>1</v>
      </c>
      <c r="V224" s="780"/>
      <c r="W224" s="955"/>
      <c r="X224" s="955"/>
      <c r="Y224" s="955"/>
      <c r="Z224" s="955"/>
      <c r="AA224" s="955"/>
      <c r="AB224" s="955"/>
    </row>
    <row r="225" spans="1:28" ht="13.5" x14ac:dyDescent="0.25">
      <c r="A225" s="786">
        <f>PERSONAL!B76</f>
        <v>0</v>
      </c>
      <c r="B225" s="794"/>
      <c r="C225" s="639">
        <f>PERSONAL!D76</f>
        <v>0</v>
      </c>
      <c r="D225" s="786">
        <f>PERSONAL!E76</f>
        <v>0</v>
      </c>
      <c r="E225" s="794"/>
      <c r="F225" s="639">
        <f>PERSONAL!G76</f>
        <v>0</v>
      </c>
      <c r="G225" s="639">
        <f>PERSONAL!H76</f>
        <v>0</v>
      </c>
      <c r="H225" s="639">
        <f>PERSONAL!I76</f>
        <v>0</v>
      </c>
      <c r="I225" s="639">
        <f>PERSONAL!J76</f>
        <v>0</v>
      </c>
      <c r="J225" s="639">
        <f>PERSONAL!K76</f>
        <v>0</v>
      </c>
      <c r="K225" s="639">
        <f>PERSONAL!L76*T225</f>
        <v>0</v>
      </c>
      <c r="L225" s="639">
        <f>PERSONAL!M76*U225</f>
        <v>0</v>
      </c>
      <c r="M225" s="435">
        <f t="shared" si="8"/>
        <v>0</v>
      </c>
      <c r="N225" s="500">
        <f>PERSONAL!N76</f>
        <v>0</v>
      </c>
      <c r="O225" s="436">
        <f t="shared" si="10"/>
        <v>0</v>
      </c>
      <c r="P225" s="436">
        <f t="shared" si="11"/>
        <v>0</v>
      </c>
      <c r="Q225" s="437">
        <f t="shared" si="9"/>
        <v>0</v>
      </c>
      <c r="R225" s="501">
        <f>PERSONAL!Q76</f>
        <v>0</v>
      </c>
      <c r="T225" s="664">
        <v>1</v>
      </c>
      <c r="U225" s="665">
        <v>1</v>
      </c>
      <c r="V225" s="780"/>
      <c r="W225" s="955"/>
      <c r="X225" s="955"/>
      <c r="Y225" s="955"/>
      <c r="Z225" s="955"/>
      <c r="AA225" s="955"/>
      <c r="AB225" s="955"/>
    </row>
    <row r="226" spans="1:28" ht="13.5" x14ac:dyDescent="0.25">
      <c r="A226" s="786">
        <f>PERSONAL!B77</f>
        <v>0</v>
      </c>
      <c r="B226" s="794"/>
      <c r="C226" s="639">
        <f>PERSONAL!D77</f>
        <v>0</v>
      </c>
      <c r="D226" s="786">
        <f>PERSONAL!E77</f>
        <v>0</v>
      </c>
      <c r="E226" s="794"/>
      <c r="F226" s="639">
        <f>PERSONAL!G77</f>
        <v>0</v>
      </c>
      <c r="G226" s="639">
        <f>PERSONAL!H77</f>
        <v>0</v>
      </c>
      <c r="H226" s="639">
        <f>PERSONAL!I77</f>
        <v>0</v>
      </c>
      <c r="I226" s="639">
        <f>PERSONAL!J77</f>
        <v>0</v>
      </c>
      <c r="J226" s="639">
        <f>PERSONAL!K77</f>
        <v>0</v>
      </c>
      <c r="K226" s="639">
        <f>PERSONAL!L77*T226</f>
        <v>0</v>
      </c>
      <c r="L226" s="639">
        <f>PERSONAL!M77*U226</f>
        <v>0</v>
      </c>
      <c r="M226" s="435">
        <f t="shared" si="8"/>
        <v>0</v>
      </c>
      <c r="N226" s="500">
        <f>PERSONAL!N77</f>
        <v>0</v>
      </c>
      <c r="O226" s="436">
        <f t="shared" si="10"/>
        <v>0</v>
      </c>
      <c r="P226" s="436">
        <f t="shared" si="11"/>
        <v>0</v>
      </c>
      <c r="Q226" s="437">
        <f t="shared" si="9"/>
        <v>0</v>
      </c>
      <c r="R226" s="501">
        <f>PERSONAL!Q77</f>
        <v>0</v>
      </c>
      <c r="T226" s="664">
        <v>1</v>
      </c>
      <c r="U226" s="665">
        <v>1</v>
      </c>
      <c r="V226" s="780"/>
      <c r="W226" s="955"/>
      <c r="X226" s="955"/>
      <c r="Y226" s="955"/>
      <c r="Z226" s="955"/>
      <c r="AA226" s="955"/>
      <c r="AB226" s="955"/>
    </row>
    <row r="227" spans="1:28" ht="13.5" x14ac:dyDescent="0.25">
      <c r="A227" s="786">
        <f>PERSONAL!B78</f>
        <v>0</v>
      </c>
      <c r="B227" s="794"/>
      <c r="C227" s="639">
        <f>PERSONAL!D78</f>
        <v>0</v>
      </c>
      <c r="D227" s="786">
        <f>PERSONAL!E78</f>
        <v>0</v>
      </c>
      <c r="E227" s="794"/>
      <c r="F227" s="639">
        <f>PERSONAL!G78</f>
        <v>0</v>
      </c>
      <c r="G227" s="639">
        <f>PERSONAL!H78</f>
        <v>0</v>
      </c>
      <c r="H227" s="639">
        <f>PERSONAL!I78</f>
        <v>0</v>
      </c>
      <c r="I227" s="639">
        <f>PERSONAL!J78</f>
        <v>0</v>
      </c>
      <c r="J227" s="639">
        <f>PERSONAL!K78</f>
        <v>0</v>
      </c>
      <c r="K227" s="639">
        <f>PERSONAL!L78*T227</f>
        <v>0</v>
      </c>
      <c r="L227" s="639">
        <f>PERSONAL!M78*U227</f>
        <v>0</v>
      </c>
      <c r="M227" s="435">
        <f t="shared" si="8"/>
        <v>0</v>
      </c>
      <c r="N227" s="500">
        <f>PERSONAL!N78</f>
        <v>0</v>
      </c>
      <c r="O227" s="436">
        <f t="shared" si="10"/>
        <v>0</v>
      </c>
      <c r="P227" s="436">
        <f t="shared" si="11"/>
        <v>0</v>
      </c>
      <c r="Q227" s="437">
        <f t="shared" si="9"/>
        <v>0</v>
      </c>
      <c r="R227" s="501">
        <f>PERSONAL!Q78</f>
        <v>0</v>
      </c>
      <c r="T227" s="664">
        <v>1</v>
      </c>
      <c r="U227" s="665">
        <v>1</v>
      </c>
      <c r="V227" s="780"/>
      <c r="W227" s="955"/>
      <c r="X227" s="955"/>
      <c r="Y227" s="955"/>
      <c r="Z227" s="955"/>
      <c r="AA227" s="955"/>
      <c r="AB227" s="955"/>
    </row>
    <row r="228" spans="1:28" ht="13.5" x14ac:dyDescent="0.25">
      <c r="A228" s="786">
        <f>PERSONAL!B79</f>
        <v>0</v>
      </c>
      <c r="B228" s="794"/>
      <c r="C228" s="639">
        <f>PERSONAL!D79</f>
        <v>0</v>
      </c>
      <c r="D228" s="786">
        <f>PERSONAL!E79</f>
        <v>0</v>
      </c>
      <c r="E228" s="794"/>
      <c r="F228" s="639">
        <f>PERSONAL!G79</f>
        <v>0</v>
      </c>
      <c r="G228" s="639">
        <f>PERSONAL!H79</f>
        <v>0</v>
      </c>
      <c r="H228" s="639">
        <f>PERSONAL!I79</f>
        <v>0</v>
      </c>
      <c r="I228" s="639">
        <f>PERSONAL!J79</f>
        <v>0</v>
      </c>
      <c r="J228" s="639">
        <f>PERSONAL!K79</f>
        <v>0</v>
      </c>
      <c r="K228" s="639">
        <f>PERSONAL!L79*T228</f>
        <v>0</v>
      </c>
      <c r="L228" s="639">
        <f>PERSONAL!M79*U228</f>
        <v>0</v>
      </c>
      <c r="M228" s="435">
        <f t="shared" si="8"/>
        <v>0</v>
      </c>
      <c r="N228" s="500">
        <f>PERSONAL!N79</f>
        <v>0</v>
      </c>
      <c r="O228" s="436">
        <f t="shared" ref="O228:O252" si="12">I228*K228</f>
        <v>0</v>
      </c>
      <c r="P228" s="436">
        <f t="shared" ref="P228:P252" si="13">J228*L228</f>
        <v>0</v>
      </c>
      <c r="Q228" s="437">
        <f t="shared" si="9"/>
        <v>0</v>
      </c>
      <c r="R228" s="501">
        <f>PERSONAL!Q79</f>
        <v>0</v>
      </c>
      <c r="T228" s="664">
        <v>1</v>
      </c>
      <c r="U228" s="665">
        <v>1</v>
      </c>
      <c r="V228" s="780"/>
      <c r="W228" s="955"/>
      <c r="X228" s="955"/>
      <c r="Y228" s="955"/>
      <c r="Z228" s="955"/>
      <c r="AA228" s="955"/>
      <c r="AB228" s="955"/>
    </row>
    <row r="229" spans="1:28" ht="13.5" x14ac:dyDescent="0.25">
      <c r="A229" s="786">
        <f>PERSONAL!B80</f>
        <v>0</v>
      </c>
      <c r="B229" s="794"/>
      <c r="C229" s="639">
        <f>PERSONAL!D80</f>
        <v>0</v>
      </c>
      <c r="D229" s="786">
        <f>PERSONAL!E80</f>
        <v>0</v>
      </c>
      <c r="E229" s="794"/>
      <c r="F229" s="639">
        <f>PERSONAL!G80</f>
        <v>0</v>
      </c>
      <c r="G229" s="639">
        <f>PERSONAL!H80</f>
        <v>0</v>
      </c>
      <c r="H229" s="639">
        <f>PERSONAL!I80</f>
        <v>0</v>
      </c>
      <c r="I229" s="639">
        <f>PERSONAL!J80</f>
        <v>0</v>
      </c>
      <c r="J229" s="639">
        <f>PERSONAL!K80</f>
        <v>0</v>
      </c>
      <c r="K229" s="639">
        <f>PERSONAL!L80*T229</f>
        <v>0</v>
      </c>
      <c r="L229" s="639">
        <f>PERSONAL!M80*U229</f>
        <v>0</v>
      </c>
      <c r="M229" s="435">
        <f t="shared" ref="M229:M252" si="14">SUM(K229:L229)</f>
        <v>0</v>
      </c>
      <c r="N229" s="500">
        <f>PERSONAL!N80</f>
        <v>0</v>
      </c>
      <c r="O229" s="436">
        <f t="shared" si="12"/>
        <v>0</v>
      </c>
      <c r="P229" s="436">
        <f t="shared" si="13"/>
        <v>0</v>
      </c>
      <c r="Q229" s="437">
        <f t="shared" ref="Q229:Q252" si="15">SUM(O229:P229)</f>
        <v>0</v>
      </c>
      <c r="R229" s="501">
        <f>PERSONAL!Q80</f>
        <v>0</v>
      </c>
      <c r="T229" s="664">
        <v>1</v>
      </c>
      <c r="U229" s="665">
        <v>1</v>
      </c>
      <c r="V229" s="780"/>
      <c r="W229" s="955"/>
      <c r="X229" s="955"/>
      <c r="Y229" s="955"/>
      <c r="Z229" s="955"/>
      <c r="AA229" s="955"/>
      <c r="AB229" s="955"/>
    </row>
    <row r="230" spans="1:28" ht="13.5" x14ac:dyDescent="0.25">
      <c r="A230" s="786">
        <f>PERSONAL!B81</f>
        <v>0</v>
      </c>
      <c r="B230" s="794"/>
      <c r="C230" s="639">
        <f>PERSONAL!D81</f>
        <v>0</v>
      </c>
      <c r="D230" s="786">
        <f>PERSONAL!E81</f>
        <v>0</v>
      </c>
      <c r="E230" s="794"/>
      <c r="F230" s="639">
        <f>PERSONAL!G81</f>
        <v>0</v>
      </c>
      <c r="G230" s="639">
        <f>PERSONAL!H81</f>
        <v>0</v>
      </c>
      <c r="H230" s="639">
        <f>PERSONAL!I81</f>
        <v>0</v>
      </c>
      <c r="I230" s="639">
        <f>PERSONAL!J81</f>
        <v>0</v>
      </c>
      <c r="J230" s="639">
        <f>PERSONAL!K81</f>
        <v>0</v>
      </c>
      <c r="K230" s="639">
        <f>PERSONAL!L81*T230</f>
        <v>0</v>
      </c>
      <c r="L230" s="639">
        <f>PERSONAL!M81*U230</f>
        <v>0</v>
      </c>
      <c r="M230" s="435">
        <f t="shared" si="14"/>
        <v>0</v>
      </c>
      <c r="N230" s="500">
        <f>PERSONAL!N81</f>
        <v>0</v>
      </c>
      <c r="O230" s="436">
        <f t="shared" si="12"/>
        <v>0</v>
      </c>
      <c r="P230" s="436">
        <f t="shared" si="13"/>
        <v>0</v>
      </c>
      <c r="Q230" s="437">
        <f t="shared" si="15"/>
        <v>0</v>
      </c>
      <c r="R230" s="501">
        <f>PERSONAL!Q81</f>
        <v>0</v>
      </c>
      <c r="T230" s="664">
        <v>1</v>
      </c>
      <c r="U230" s="665">
        <v>1</v>
      </c>
      <c r="V230" s="780"/>
      <c r="W230" s="955"/>
      <c r="X230" s="955"/>
      <c r="Y230" s="955"/>
      <c r="Z230" s="955"/>
      <c r="AA230" s="955"/>
      <c r="AB230" s="955"/>
    </row>
    <row r="231" spans="1:28" ht="13.5" x14ac:dyDescent="0.25">
      <c r="A231" s="786">
        <f>PERSONAL!B82</f>
        <v>0</v>
      </c>
      <c r="B231" s="794"/>
      <c r="C231" s="639">
        <f>PERSONAL!D82</f>
        <v>0</v>
      </c>
      <c r="D231" s="786">
        <f>PERSONAL!E82</f>
        <v>0</v>
      </c>
      <c r="E231" s="794"/>
      <c r="F231" s="639">
        <f>PERSONAL!G82</f>
        <v>0</v>
      </c>
      <c r="G231" s="639">
        <f>PERSONAL!H82</f>
        <v>0</v>
      </c>
      <c r="H231" s="639">
        <f>PERSONAL!I82</f>
        <v>0</v>
      </c>
      <c r="I231" s="639">
        <f>PERSONAL!J82</f>
        <v>0</v>
      </c>
      <c r="J231" s="639">
        <f>PERSONAL!K82</f>
        <v>0</v>
      </c>
      <c r="K231" s="639">
        <f>PERSONAL!L82*T231</f>
        <v>0</v>
      </c>
      <c r="L231" s="639">
        <f>PERSONAL!M82*U231</f>
        <v>0</v>
      </c>
      <c r="M231" s="435">
        <f t="shared" si="14"/>
        <v>0</v>
      </c>
      <c r="N231" s="500">
        <f>PERSONAL!N82</f>
        <v>0</v>
      </c>
      <c r="O231" s="436">
        <f t="shared" si="12"/>
        <v>0</v>
      </c>
      <c r="P231" s="436">
        <f t="shared" si="13"/>
        <v>0</v>
      </c>
      <c r="Q231" s="437">
        <f t="shared" si="15"/>
        <v>0</v>
      </c>
      <c r="R231" s="501">
        <f>PERSONAL!Q82</f>
        <v>0</v>
      </c>
      <c r="T231" s="664">
        <v>1</v>
      </c>
      <c r="U231" s="665">
        <v>1</v>
      </c>
      <c r="V231" s="780"/>
      <c r="W231" s="955"/>
      <c r="X231" s="955"/>
      <c r="Y231" s="955"/>
      <c r="Z231" s="955"/>
      <c r="AA231" s="955"/>
      <c r="AB231" s="955"/>
    </row>
    <row r="232" spans="1:28" ht="13.5" x14ac:dyDescent="0.25">
      <c r="A232" s="786">
        <f>PERSONAL!B83</f>
        <v>0</v>
      </c>
      <c r="B232" s="794"/>
      <c r="C232" s="639">
        <f>PERSONAL!D83</f>
        <v>0</v>
      </c>
      <c r="D232" s="786">
        <f>PERSONAL!E83</f>
        <v>0</v>
      </c>
      <c r="E232" s="794"/>
      <c r="F232" s="639">
        <f>PERSONAL!G83</f>
        <v>0</v>
      </c>
      <c r="G232" s="639">
        <f>PERSONAL!H83</f>
        <v>0</v>
      </c>
      <c r="H232" s="639">
        <f>PERSONAL!I83</f>
        <v>0</v>
      </c>
      <c r="I232" s="639">
        <f>PERSONAL!J83</f>
        <v>0</v>
      </c>
      <c r="J232" s="639">
        <f>PERSONAL!K83</f>
        <v>0</v>
      </c>
      <c r="K232" s="639">
        <f>PERSONAL!L83*T232</f>
        <v>0</v>
      </c>
      <c r="L232" s="639">
        <f>PERSONAL!M83*U232</f>
        <v>0</v>
      </c>
      <c r="M232" s="435">
        <f t="shared" si="14"/>
        <v>0</v>
      </c>
      <c r="N232" s="500">
        <f>PERSONAL!N83</f>
        <v>0</v>
      </c>
      <c r="O232" s="436">
        <f t="shared" si="12"/>
        <v>0</v>
      </c>
      <c r="P232" s="436">
        <f t="shared" si="13"/>
        <v>0</v>
      </c>
      <c r="Q232" s="437">
        <f t="shared" si="15"/>
        <v>0</v>
      </c>
      <c r="R232" s="501">
        <f>PERSONAL!Q83</f>
        <v>0</v>
      </c>
      <c r="T232" s="664">
        <v>1</v>
      </c>
      <c r="U232" s="665">
        <v>1</v>
      </c>
      <c r="V232" s="780"/>
      <c r="W232" s="955"/>
      <c r="X232" s="955"/>
      <c r="Y232" s="955"/>
      <c r="Z232" s="955"/>
      <c r="AA232" s="955"/>
      <c r="AB232" s="955"/>
    </row>
    <row r="233" spans="1:28" ht="13.5" x14ac:dyDescent="0.25">
      <c r="A233" s="786">
        <f>PERSONAL!B84</f>
        <v>0</v>
      </c>
      <c r="B233" s="794"/>
      <c r="C233" s="639">
        <f>PERSONAL!D84</f>
        <v>0</v>
      </c>
      <c r="D233" s="786">
        <f>PERSONAL!E84</f>
        <v>0</v>
      </c>
      <c r="E233" s="794"/>
      <c r="F233" s="639">
        <f>PERSONAL!G84</f>
        <v>0</v>
      </c>
      <c r="G233" s="639">
        <f>PERSONAL!H84</f>
        <v>0</v>
      </c>
      <c r="H233" s="639">
        <f>PERSONAL!I84</f>
        <v>0</v>
      </c>
      <c r="I233" s="639">
        <f>PERSONAL!J84</f>
        <v>0</v>
      </c>
      <c r="J233" s="639">
        <f>PERSONAL!K84</f>
        <v>0</v>
      </c>
      <c r="K233" s="639">
        <f>PERSONAL!L84*T233</f>
        <v>0</v>
      </c>
      <c r="L233" s="639">
        <f>PERSONAL!M84*U233</f>
        <v>0</v>
      </c>
      <c r="M233" s="435">
        <f t="shared" si="14"/>
        <v>0</v>
      </c>
      <c r="N233" s="500">
        <f>PERSONAL!N84</f>
        <v>0</v>
      </c>
      <c r="O233" s="436">
        <f t="shared" si="12"/>
        <v>0</v>
      </c>
      <c r="P233" s="436">
        <f t="shared" si="13"/>
        <v>0</v>
      </c>
      <c r="Q233" s="437">
        <f t="shared" si="15"/>
        <v>0</v>
      </c>
      <c r="R233" s="501">
        <f>PERSONAL!Q84</f>
        <v>0</v>
      </c>
      <c r="T233" s="664">
        <v>1</v>
      </c>
      <c r="U233" s="665">
        <v>1</v>
      </c>
      <c r="V233" s="780"/>
      <c r="W233" s="955"/>
      <c r="X233" s="955"/>
      <c r="Y233" s="955"/>
      <c r="Z233" s="955"/>
      <c r="AA233" s="955"/>
      <c r="AB233" s="955"/>
    </row>
    <row r="234" spans="1:28" ht="13.5" x14ac:dyDescent="0.25">
      <c r="A234" s="786">
        <f>PERSONAL!B85</f>
        <v>0</v>
      </c>
      <c r="B234" s="794"/>
      <c r="C234" s="639">
        <f>PERSONAL!D85</f>
        <v>0</v>
      </c>
      <c r="D234" s="786">
        <f>PERSONAL!E85</f>
        <v>0</v>
      </c>
      <c r="E234" s="794"/>
      <c r="F234" s="639">
        <f>PERSONAL!G85</f>
        <v>0</v>
      </c>
      <c r="G234" s="639">
        <f>PERSONAL!H85</f>
        <v>0</v>
      </c>
      <c r="H234" s="639">
        <f>PERSONAL!I85</f>
        <v>0</v>
      </c>
      <c r="I234" s="639">
        <f>PERSONAL!J85</f>
        <v>0</v>
      </c>
      <c r="J234" s="639">
        <f>PERSONAL!K85</f>
        <v>0</v>
      </c>
      <c r="K234" s="639">
        <f>PERSONAL!L85*T234</f>
        <v>0</v>
      </c>
      <c r="L234" s="639">
        <f>PERSONAL!M85*U234</f>
        <v>0</v>
      </c>
      <c r="M234" s="435">
        <f t="shared" si="14"/>
        <v>0</v>
      </c>
      <c r="N234" s="500">
        <f>PERSONAL!N85</f>
        <v>0</v>
      </c>
      <c r="O234" s="436">
        <f t="shared" si="12"/>
        <v>0</v>
      </c>
      <c r="P234" s="436">
        <f t="shared" si="13"/>
        <v>0</v>
      </c>
      <c r="Q234" s="437">
        <f t="shared" si="15"/>
        <v>0</v>
      </c>
      <c r="R234" s="501">
        <f>PERSONAL!Q85</f>
        <v>0</v>
      </c>
      <c r="T234" s="664">
        <v>1</v>
      </c>
      <c r="U234" s="665">
        <v>1</v>
      </c>
      <c r="V234" s="780"/>
      <c r="W234" s="955"/>
      <c r="X234" s="955"/>
      <c r="Y234" s="955"/>
      <c r="Z234" s="955"/>
      <c r="AA234" s="955"/>
      <c r="AB234" s="955"/>
    </row>
    <row r="235" spans="1:28" ht="13.5" x14ac:dyDescent="0.25">
      <c r="A235" s="786">
        <f>PERSONAL!B86</f>
        <v>0</v>
      </c>
      <c r="B235" s="794"/>
      <c r="C235" s="639">
        <f>PERSONAL!D86</f>
        <v>0</v>
      </c>
      <c r="D235" s="786">
        <f>PERSONAL!E86</f>
        <v>0</v>
      </c>
      <c r="E235" s="794"/>
      <c r="F235" s="639">
        <f>PERSONAL!G86</f>
        <v>0</v>
      </c>
      <c r="G235" s="639">
        <f>PERSONAL!H86</f>
        <v>0</v>
      </c>
      <c r="H235" s="639">
        <f>PERSONAL!I86</f>
        <v>0</v>
      </c>
      <c r="I235" s="639">
        <f>PERSONAL!J86</f>
        <v>0</v>
      </c>
      <c r="J235" s="639">
        <f>PERSONAL!K86</f>
        <v>0</v>
      </c>
      <c r="K235" s="639">
        <f>PERSONAL!L86*T235</f>
        <v>0</v>
      </c>
      <c r="L235" s="639">
        <f>PERSONAL!M86*U235</f>
        <v>0</v>
      </c>
      <c r="M235" s="435">
        <f t="shared" si="14"/>
        <v>0</v>
      </c>
      <c r="N235" s="500">
        <f>PERSONAL!N86</f>
        <v>0</v>
      </c>
      <c r="O235" s="436">
        <f t="shared" si="12"/>
        <v>0</v>
      </c>
      <c r="P235" s="436">
        <f t="shared" si="13"/>
        <v>0</v>
      </c>
      <c r="Q235" s="437">
        <f t="shared" si="15"/>
        <v>0</v>
      </c>
      <c r="R235" s="501">
        <f>PERSONAL!Q86</f>
        <v>0</v>
      </c>
      <c r="T235" s="664">
        <v>1</v>
      </c>
      <c r="U235" s="665">
        <v>1</v>
      </c>
      <c r="V235" s="780"/>
      <c r="W235" s="955"/>
      <c r="X235" s="955"/>
      <c r="Y235" s="955"/>
      <c r="Z235" s="955"/>
      <c r="AA235" s="955"/>
      <c r="AB235" s="955"/>
    </row>
    <row r="236" spans="1:28" ht="13.5" x14ac:dyDescent="0.25">
      <c r="A236" s="786">
        <f>PERSONAL!B87</f>
        <v>0</v>
      </c>
      <c r="B236" s="794"/>
      <c r="C236" s="639">
        <f>PERSONAL!D87</f>
        <v>0</v>
      </c>
      <c r="D236" s="786">
        <f>PERSONAL!E87</f>
        <v>0</v>
      </c>
      <c r="E236" s="794"/>
      <c r="F236" s="639">
        <f>PERSONAL!G87</f>
        <v>0</v>
      </c>
      <c r="G236" s="639">
        <f>PERSONAL!H87</f>
        <v>0</v>
      </c>
      <c r="H236" s="639">
        <f>PERSONAL!I87</f>
        <v>0</v>
      </c>
      <c r="I236" s="639">
        <f>PERSONAL!J87</f>
        <v>0</v>
      </c>
      <c r="J236" s="639">
        <f>PERSONAL!K87</f>
        <v>0</v>
      </c>
      <c r="K236" s="639">
        <f>PERSONAL!L87*T236</f>
        <v>0</v>
      </c>
      <c r="L236" s="639">
        <f>PERSONAL!M87*U236</f>
        <v>0</v>
      </c>
      <c r="M236" s="435">
        <f t="shared" si="14"/>
        <v>0</v>
      </c>
      <c r="N236" s="500">
        <f>PERSONAL!N87</f>
        <v>0</v>
      </c>
      <c r="O236" s="436">
        <f t="shared" si="12"/>
        <v>0</v>
      </c>
      <c r="P236" s="436">
        <f t="shared" si="13"/>
        <v>0</v>
      </c>
      <c r="Q236" s="437">
        <f t="shared" si="15"/>
        <v>0</v>
      </c>
      <c r="R236" s="501">
        <f>PERSONAL!Q87</f>
        <v>0</v>
      </c>
      <c r="T236" s="664">
        <v>1</v>
      </c>
      <c r="U236" s="665">
        <v>1</v>
      </c>
      <c r="V236" s="780"/>
      <c r="W236" s="955"/>
      <c r="X236" s="955"/>
      <c r="Y236" s="955"/>
      <c r="Z236" s="955"/>
      <c r="AA236" s="955"/>
      <c r="AB236" s="955"/>
    </row>
    <row r="237" spans="1:28" ht="13.5" x14ac:dyDescent="0.25">
      <c r="A237" s="786">
        <f>PERSONAL!B88</f>
        <v>0</v>
      </c>
      <c r="B237" s="794"/>
      <c r="C237" s="639">
        <f>PERSONAL!D88</f>
        <v>0</v>
      </c>
      <c r="D237" s="786">
        <f>PERSONAL!E88</f>
        <v>0</v>
      </c>
      <c r="E237" s="794"/>
      <c r="F237" s="639">
        <f>PERSONAL!G88</f>
        <v>0</v>
      </c>
      <c r="G237" s="639">
        <f>PERSONAL!H88</f>
        <v>0</v>
      </c>
      <c r="H237" s="639">
        <f>PERSONAL!I88</f>
        <v>0</v>
      </c>
      <c r="I237" s="639">
        <f>PERSONAL!J88</f>
        <v>0</v>
      </c>
      <c r="J237" s="639">
        <f>PERSONAL!K88</f>
        <v>0</v>
      </c>
      <c r="K237" s="639">
        <f>PERSONAL!L88*T237</f>
        <v>0</v>
      </c>
      <c r="L237" s="639">
        <f>PERSONAL!M88*U237</f>
        <v>0</v>
      </c>
      <c r="M237" s="435">
        <f t="shared" si="14"/>
        <v>0</v>
      </c>
      <c r="N237" s="500">
        <f>PERSONAL!N88</f>
        <v>0</v>
      </c>
      <c r="O237" s="436">
        <f t="shared" si="12"/>
        <v>0</v>
      </c>
      <c r="P237" s="436">
        <f t="shared" si="13"/>
        <v>0</v>
      </c>
      <c r="Q237" s="437">
        <f t="shared" si="15"/>
        <v>0</v>
      </c>
      <c r="R237" s="501">
        <f>PERSONAL!Q88</f>
        <v>0</v>
      </c>
      <c r="T237" s="664">
        <v>1</v>
      </c>
      <c r="U237" s="665">
        <v>1</v>
      </c>
      <c r="V237" s="780"/>
      <c r="W237" s="955"/>
      <c r="X237" s="955"/>
      <c r="Y237" s="955"/>
      <c r="Z237" s="955"/>
      <c r="AA237" s="955"/>
      <c r="AB237" s="955"/>
    </row>
    <row r="238" spans="1:28" ht="13.5" x14ac:dyDescent="0.25">
      <c r="A238" s="786">
        <f>PERSONAL!B89</f>
        <v>0</v>
      </c>
      <c r="B238" s="794"/>
      <c r="C238" s="639">
        <f>PERSONAL!D89</f>
        <v>0</v>
      </c>
      <c r="D238" s="786">
        <f>PERSONAL!E89</f>
        <v>0</v>
      </c>
      <c r="E238" s="794"/>
      <c r="F238" s="639">
        <f>PERSONAL!G89</f>
        <v>0</v>
      </c>
      <c r="G238" s="639">
        <f>PERSONAL!H89</f>
        <v>0</v>
      </c>
      <c r="H238" s="639">
        <f>PERSONAL!I89</f>
        <v>0</v>
      </c>
      <c r="I238" s="639">
        <f>PERSONAL!J89</f>
        <v>0</v>
      </c>
      <c r="J238" s="639">
        <f>PERSONAL!K89</f>
        <v>0</v>
      </c>
      <c r="K238" s="639">
        <f>PERSONAL!L89*T238</f>
        <v>0</v>
      </c>
      <c r="L238" s="639">
        <f>PERSONAL!M89*U238</f>
        <v>0</v>
      </c>
      <c r="M238" s="435">
        <f t="shared" si="14"/>
        <v>0</v>
      </c>
      <c r="N238" s="500">
        <f>PERSONAL!N89</f>
        <v>0</v>
      </c>
      <c r="O238" s="436">
        <f t="shared" si="12"/>
        <v>0</v>
      </c>
      <c r="P238" s="436">
        <f t="shared" si="13"/>
        <v>0</v>
      </c>
      <c r="Q238" s="437">
        <f t="shared" si="15"/>
        <v>0</v>
      </c>
      <c r="R238" s="501">
        <f>PERSONAL!Q89</f>
        <v>0</v>
      </c>
      <c r="T238" s="664">
        <v>1</v>
      </c>
      <c r="U238" s="665">
        <v>1</v>
      </c>
      <c r="V238" s="780"/>
      <c r="W238" s="955"/>
      <c r="X238" s="955"/>
      <c r="Y238" s="955"/>
      <c r="Z238" s="955"/>
      <c r="AA238" s="955"/>
      <c r="AB238" s="955"/>
    </row>
    <row r="239" spans="1:28" ht="13.5" x14ac:dyDescent="0.25">
      <c r="A239" s="786">
        <f>PERSONAL!B90</f>
        <v>0</v>
      </c>
      <c r="B239" s="794"/>
      <c r="C239" s="639">
        <f>PERSONAL!D90</f>
        <v>0</v>
      </c>
      <c r="D239" s="786">
        <f>PERSONAL!E90</f>
        <v>0</v>
      </c>
      <c r="E239" s="794"/>
      <c r="F239" s="639">
        <f>PERSONAL!G90</f>
        <v>0</v>
      </c>
      <c r="G239" s="639">
        <f>PERSONAL!H90</f>
        <v>0</v>
      </c>
      <c r="H239" s="639">
        <f>PERSONAL!I90</f>
        <v>0</v>
      </c>
      <c r="I239" s="639">
        <f>PERSONAL!J90</f>
        <v>0</v>
      </c>
      <c r="J239" s="639">
        <f>PERSONAL!K90</f>
        <v>0</v>
      </c>
      <c r="K239" s="639">
        <f>PERSONAL!L90*T239</f>
        <v>0</v>
      </c>
      <c r="L239" s="639">
        <f>PERSONAL!M90*U239</f>
        <v>0</v>
      </c>
      <c r="M239" s="435">
        <f t="shared" si="14"/>
        <v>0</v>
      </c>
      <c r="N239" s="500">
        <f>PERSONAL!N90</f>
        <v>0</v>
      </c>
      <c r="O239" s="436">
        <f t="shared" si="12"/>
        <v>0</v>
      </c>
      <c r="P239" s="436">
        <f t="shared" si="13"/>
        <v>0</v>
      </c>
      <c r="Q239" s="437">
        <f t="shared" si="15"/>
        <v>0</v>
      </c>
      <c r="R239" s="501">
        <f>PERSONAL!Q90</f>
        <v>0</v>
      </c>
      <c r="T239" s="664">
        <v>1</v>
      </c>
      <c r="U239" s="665">
        <v>1</v>
      </c>
      <c r="V239" s="780"/>
      <c r="W239" s="955"/>
      <c r="X239" s="955"/>
      <c r="Y239" s="955"/>
      <c r="Z239" s="955"/>
      <c r="AA239" s="955"/>
      <c r="AB239" s="955"/>
    </row>
    <row r="240" spans="1:28" ht="13.5" x14ac:dyDescent="0.25">
      <c r="A240" s="786">
        <f>PERSONAL!B91</f>
        <v>0</v>
      </c>
      <c r="B240" s="794"/>
      <c r="C240" s="639">
        <f>PERSONAL!D91</f>
        <v>0</v>
      </c>
      <c r="D240" s="786">
        <f>PERSONAL!E91</f>
        <v>0</v>
      </c>
      <c r="E240" s="794"/>
      <c r="F240" s="639">
        <f>PERSONAL!G91</f>
        <v>0</v>
      </c>
      <c r="G240" s="639">
        <f>PERSONAL!H91</f>
        <v>0</v>
      </c>
      <c r="H240" s="639">
        <f>PERSONAL!I91</f>
        <v>0</v>
      </c>
      <c r="I240" s="639">
        <f>PERSONAL!J91</f>
        <v>0</v>
      </c>
      <c r="J240" s="639">
        <f>PERSONAL!K91</f>
        <v>0</v>
      </c>
      <c r="K240" s="639">
        <f>PERSONAL!L91*T240</f>
        <v>0</v>
      </c>
      <c r="L240" s="639">
        <f>PERSONAL!M91*U240</f>
        <v>0</v>
      </c>
      <c r="M240" s="435">
        <f t="shared" si="14"/>
        <v>0</v>
      </c>
      <c r="N240" s="500">
        <f>PERSONAL!N91</f>
        <v>0</v>
      </c>
      <c r="O240" s="436">
        <f t="shared" si="12"/>
        <v>0</v>
      </c>
      <c r="P240" s="436">
        <f t="shared" si="13"/>
        <v>0</v>
      </c>
      <c r="Q240" s="437">
        <f t="shared" si="15"/>
        <v>0</v>
      </c>
      <c r="R240" s="501">
        <f>PERSONAL!Q91</f>
        <v>0</v>
      </c>
      <c r="T240" s="664">
        <v>1</v>
      </c>
      <c r="U240" s="665">
        <v>1</v>
      </c>
      <c r="V240" s="780"/>
      <c r="W240" s="955"/>
      <c r="X240" s="955"/>
      <c r="Y240" s="955"/>
      <c r="Z240" s="955"/>
      <c r="AA240" s="955"/>
      <c r="AB240" s="955"/>
    </row>
    <row r="241" spans="1:28" ht="13.5" x14ac:dyDescent="0.25">
      <c r="A241" s="786">
        <f>PERSONAL!B92</f>
        <v>0</v>
      </c>
      <c r="B241" s="794"/>
      <c r="C241" s="639">
        <f>PERSONAL!D92</f>
        <v>0</v>
      </c>
      <c r="D241" s="786">
        <f>PERSONAL!E92</f>
        <v>0</v>
      </c>
      <c r="E241" s="794"/>
      <c r="F241" s="639">
        <f>PERSONAL!G92</f>
        <v>0</v>
      </c>
      <c r="G241" s="639">
        <f>PERSONAL!H92</f>
        <v>0</v>
      </c>
      <c r="H241" s="639">
        <f>PERSONAL!I92</f>
        <v>0</v>
      </c>
      <c r="I241" s="639">
        <f>PERSONAL!J92</f>
        <v>0</v>
      </c>
      <c r="J241" s="639">
        <f>PERSONAL!K92</f>
        <v>0</v>
      </c>
      <c r="K241" s="639">
        <f>PERSONAL!L92*T241</f>
        <v>0</v>
      </c>
      <c r="L241" s="639">
        <f>PERSONAL!M92*U241</f>
        <v>0</v>
      </c>
      <c r="M241" s="435">
        <f t="shared" si="14"/>
        <v>0</v>
      </c>
      <c r="N241" s="500">
        <f>PERSONAL!N92</f>
        <v>0</v>
      </c>
      <c r="O241" s="436">
        <f t="shared" si="12"/>
        <v>0</v>
      </c>
      <c r="P241" s="436">
        <f t="shared" si="13"/>
        <v>0</v>
      </c>
      <c r="Q241" s="437">
        <f t="shared" si="15"/>
        <v>0</v>
      </c>
      <c r="R241" s="501">
        <f>PERSONAL!Q92</f>
        <v>0</v>
      </c>
      <c r="T241" s="664">
        <v>1</v>
      </c>
      <c r="U241" s="665">
        <v>1</v>
      </c>
      <c r="V241" s="780"/>
      <c r="W241" s="955"/>
      <c r="X241" s="955"/>
      <c r="Y241" s="955"/>
      <c r="Z241" s="955"/>
      <c r="AA241" s="955"/>
      <c r="AB241" s="955"/>
    </row>
    <row r="242" spans="1:28" ht="13.5" x14ac:dyDescent="0.25">
      <c r="A242" s="786">
        <f>PERSONAL!B93</f>
        <v>0</v>
      </c>
      <c r="B242" s="794"/>
      <c r="C242" s="639">
        <f>PERSONAL!D93</f>
        <v>0</v>
      </c>
      <c r="D242" s="786">
        <f>PERSONAL!E93</f>
        <v>0</v>
      </c>
      <c r="E242" s="794"/>
      <c r="F242" s="639">
        <f>PERSONAL!G93</f>
        <v>0</v>
      </c>
      <c r="G242" s="639">
        <f>PERSONAL!H93</f>
        <v>0</v>
      </c>
      <c r="H242" s="639">
        <f>PERSONAL!I93</f>
        <v>0</v>
      </c>
      <c r="I242" s="639">
        <f>PERSONAL!J93</f>
        <v>0</v>
      </c>
      <c r="J242" s="639">
        <f>PERSONAL!K93</f>
        <v>0</v>
      </c>
      <c r="K242" s="639">
        <f>PERSONAL!L93*T242</f>
        <v>0</v>
      </c>
      <c r="L242" s="639">
        <f>PERSONAL!M93*U242</f>
        <v>0</v>
      </c>
      <c r="M242" s="435">
        <f t="shared" si="14"/>
        <v>0</v>
      </c>
      <c r="N242" s="500">
        <f>PERSONAL!N93</f>
        <v>0</v>
      </c>
      <c r="O242" s="436">
        <f t="shared" si="12"/>
        <v>0</v>
      </c>
      <c r="P242" s="436">
        <f t="shared" si="13"/>
        <v>0</v>
      </c>
      <c r="Q242" s="437">
        <f t="shared" si="15"/>
        <v>0</v>
      </c>
      <c r="R242" s="501">
        <f>PERSONAL!Q93</f>
        <v>0</v>
      </c>
      <c r="T242" s="664">
        <v>1</v>
      </c>
      <c r="U242" s="665">
        <v>1</v>
      </c>
      <c r="V242" s="780"/>
      <c r="W242" s="955"/>
      <c r="X242" s="955"/>
      <c r="Y242" s="955"/>
      <c r="Z242" s="955"/>
      <c r="AA242" s="955"/>
      <c r="AB242" s="955"/>
    </row>
    <row r="243" spans="1:28" ht="13.5" x14ac:dyDescent="0.25">
      <c r="A243" s="786">
        <f>PERSONAL!B94</f>
        <v>0</v>
      </c>
      <c r="B243" s="794"/>
      <c r="C243" s="639">
        <f>PERSONAL!D94</f>
        <v>0</v>
      </c>
      <c r="D243" s="786">
        <f>PERSONAL!E94</f>
        <v>0</v>
      </c>
      <c r="E243" s="794"/>
      <c r="F243" s="639">
        <f>PERSONAL!G94</f>
        <v>0</v>
      </c>
      <c r="G243" s="639">
        <f>PERSONAL!H94</f>
        <v>0</v>
      </c>
      <c r="H243" s="639">
        <f>PERSONAL!I94</f>
        <v>0</v>
      </c>
      <c r="I243" s="639">
        <f>PERSONAL!J94</f>
        <v>0</v>
      </c>
      <c r="J243" s="639">
        <f>PERSONAL!K94</f>
        <v>0</v>
      </c>
      <c r="K243" s="639">
        <f>PERSONAL!L94*T243</f>
        <v>0</v>
      </c>
      <c r="L243" s="639">
        <f>PERSONAL!M94*U243</f>
        <v>0</v>
      </c>
      <c r="M243" s="435">
        <f t="shared" si="14"/>
        <v>0</v>
      </c>
      <c r="N243" s="500">
        <f>PERSONAL!N94</f>
        <v>0</v>
      </c>
      <c r="O243" s="436">
        <f t="shared" si="12"/>
        <v>0</v>
      </c>
      <c r="P243" s="436">
        <f t="shared" si="13"/>
        <v>0</v>
      </c>
      <c r="Q243" s="437">
        <f t="shared" si="15"/>
        <v>0</v>
      </c>
      <c r="R243" s="501">
        <f>PERSONAL!Q94</f>
        <v>0</v>
      </c>
      <c r="T243" s="664">
        <v>1</v>
      </c>
      <c r="U243" s="665">
        <v>1</v>
      </c>
      <c r="V243" s="780"/>
      <c r="W243" s="955"/>
      <c r="X243" s="955"/>
      <c r="Y243" s="955"/>
      <c r="Z243" s="955"/>
      <c r="AA243" s="955"/>
      <c r="AB243" s="955"/>
    </row>
    <row r="244" spans="1:28" ht="13.5" x14ac:dyDescent="0.25">
      <c r="A244" s="786">
        <f>PERSONAL!B95</f>
        <v>0</v>
      </c>
      <c r="B244" s="794"/>
      <c r="C244" s="639">
        <f>PERSONAL!D95</f>
        <v>0</v>
      </c>
      <c r="D244" s="786">
        <f>PERSONAL!E95</f>
        <v>0</v>
      </c>
      <c r="E244" s="794"/>
      <c r="F244" s="639">
        <f>PERSONAL!G95</f>
        <v>0</v>
      </c>
      <c r="G244" s="639">
        <f>PERSONAL!H95</f>
        <v>0</v>
      </c>
      <c r="H244" s="639">
        <f>PERSONAL!I95</f>
        <v>0</v>
      </c>
      <c r="I244" s="639">
        <f>PERSONAL!J95</f>
        <v>0</v>
      </c>
      <c r="J244" s="639">
        <f>PERSONAL!K95</f>
        <v>0</v>
      </c>
      <c r="K244" s="639">
        <f>PERSONAL!L95*T244</f>
        <v>0</v>
      </c>
      <c r="L244" s="639">
        <f>PERSONAL!M95*U244</f>
        <v>0</v>
      </c>
      <c r="M244" s="435">
        <f t="shared" si="14"/>
        <v>0</v>
      </c>
      <c r="N244" s="500">
        <f>PERSONAL!N95</f>
        <v>0</v>
      </c>
      <c r="O244" s="436">
        <f t="shared" si="12"/>
        <v>0</v>
      </c>
      <c r="P244" s="436">
        <f t="shared" si="13"/>
        <v>0</v>
      </c>
      <c r="Q244" s="437">
        <f t="shared" si="15"/>
        <v>0</v>
      </c>
      <c r="R244" s="501">
        <f>PERSONAL!Q95</f>
        <v>0</v>
      </c>
      <c r="T244" s="664">
        <v>1</v>
      </c>
      <c r="U244" s="665">
        <v>1</v>
      </c>
      <c r="V244" s="780"/>
      <c r="W244" s="955"/>
      <c r="X244" s="955"/>
      <c r="Y244" s="955"/>
      <c r="Z244" s="955"/>
      <c r="AA244" s="955"/>
      <c r="AB244" s="955"/>
    </row>
    <row r="245" spans="1:28" ht="13.5" x14ac:dyDescent="0.25">
      <c r="A245" s="786">
        <f>PERSONAL!B96</f>
        <v>0</v>
      </c>
      <c r="B245" s="794"/>
      <c r="C245" s="639">
        <f>PERSONAL!D96</f>
        <v>0</v>
      </c>
      <c r="D245" s="786">
        <f>PERSONAL!E96</f>
        <v>0</v>
      </c>
      <c r="E245" s="794"/>
      <c r="F245" s="639">
        <f>PERSONAL!G96</f>
        <v>0</v>
      </c>
      <c r="G245" s="639">
        <f>PERSONAL!H96</f>
        <v>0</v>
      </c>
      <c r="H245" s="639">
        <f>PERSONAL!I96</f>
        <v>0</v>
      </c>
      <c r="I245" s="639">
        <f>PERSONAL!J96</f>
        <v>0</v>
      </c>
      <c r="J245" s="639">
        <f>PERSONAL!K96</f>
        <v>0</v>
      </c>
      <c r="K245" s="639">
        <f>PERSONAL!L96*T245</f>
        <v>0</v>
      </c>
      <c r="L245" s="639">
        <f>PERSONAL!M96*U245</f>
        <v>0</v>
      </c>
      <c r="M245" s="435">
        <f t="shared" si="14"/>
        <v>0</v>
      </c>
      <c r="N245" s="500">
        <f>PERSONAL!N96</f>
        <v>0</v>
      </c>
      <c r="O245" s="436">
        <f t="shared" si="12"/>
        <v>0</v>
      </c>
      <c r="P245" s="436">
        <f t="shared" si="13"/>
        <v>0</v>
      </c>
      <c r="Q245" s="437">
        <f t="shared" si="15"/>
        <v>0</v>
      </c>
      <c r="R245" s="501">
        <f>PERSONAL!Q96</f>
        <v>0</v>
      </c>
      <c r="T245" s="664">
        <v>1</v>
      </c>
      <c r="U245" s="665">
        <v>1</v>
      </c>
      <c r="V245" s="780"/>
      <c r="W245" s="955"/>
      <c r="X245" s="955"/>
      <c r="Y245" s="955"/>
      <c r="Z245" s="955"/>
      <c r="AA245" s="955"/>
      <c r="AB245" s="955"/>
    </row>
    <row r="246" spans="1:28" ht="13.5" x14ac:dyDescent="0.25">
      <c r="A246" s="786">
        <f>PERSONAL!B97</f>
        <v>0</v>
      </c>
      <c r="B246" s="794"/>
      <c r="C246" s="639">
        <f>PERSONAL!D97</f>
        <v>0</v>
      </c>
      <c r="D246" s="786">
        <f>PERSONAL!E97</f>
        <v>0</v>
      </c>
      <c r="E246" s="794"/>
      <c r="F246" s="639">
        <f>PERSONAL!G97</f>
        <v>0</v>
      </c>
      <c r="G246" s="639">
        <f>PERSONAL!H97</f>
        <v>0</v>
      </c>
      <c r="H246" s="639">
        <f>PERSONAL!I97</f>
        <v>0</v>
      </c>
      <c r="I246" s="639">
        <f>PERSONAL!J97</f>
        <v>0</v>
      </c>
      <c r="J246" s="639">
        <f>PERSONAL!K97</f>
        <v>0</v>
      </c>
      <c r="K246" s="639">
        <f>PERSONAL!L97*T246</f>
        <v>0</v>
      </c>
      <c r="L246" s="639">
        <f>PERSONAL!M97*U246</f>
        <v>0</v>
      </c>
      <c r="M246" s="435">
        <f t="shared" si="14"/>
        <v>0</v>
      </c>
      <c r="N246" s="500">
        <f>PERSONAL!N97</f>
        <v>0</v>
      </c>
      <c r="O246" s="436">
        <f t="shared" si="12"/>
        <v>0</v>
      </c>
      <c r="P246" s="436">
        <f t="shared" si="13"/>
        <v>0</v>
      </c>
      <c r="Q246" s="437">
        <f t="shared" si="15"/>
        <v>0</v>
      </c>
      <c r="R246" s="501">
        <f>PERSONAL!Q97</f>
        <v>0</v>
      </c>
      <c r="T246" s="664">
        <v>1</v>
      </c>
      <c r="U246" s="665">
        <v>1</v>
      </c>
      <c r="V246" s="780"/>
      <c r="W246" s="955"/>
      <c r="X246" s="955"/>
      <c r="Y246" s="955"/>
      <c r="Z246" s="955"/>
      <c r="AA246" s="955"/>
      <c r="AB246" s="955"/>
    </row>
    <row r="247" spans="1:28" ht="13.5" x14ac:dyDescent="0.25">
      <c r="A247" s="786">
        <f>PERSONAL!B98</f>
        <v>0</v>
      </c>
      <c r="B247" s="794"/>
      <c r="C247" s="639">
        <f>PERSONAL!D98</f>
        <v>0</v>
      </c>
      <c r="D247" s="786">
        <f>PERSONAL!E98</f>
        <v>0</v>
      </c>
      <c r="E247" s="794"/>
      <c r="F247" s="639">
        <f>PERSONAL!G98</f>
        <v>0</v>
      </c>
      <c r="G247" s="639">
        <f>PERSONAL!H98</f>
        <v>0</v>
      </c>
      <c r="H247" s="639">
        <f>PERSONAL!I98</f>
        <v>0</v>
      </c>
      <c r="I247" s="639">
        <f>PERSONAL!J98</f>
        <v>0</v>
      </c>
      <c r="J247" s="639">
        <f>PERSONAL!K98</f>
        <v>0</v>
      </c>
      <c r="K247" s="639">
        <f>PERSONAL!L98*T247</f>
        <v>0</v>
      </c>
      <c r="L247" s="639">
        <f>PERSONAL!M98*U247</f>
        <v>0</v>
      </c>
      <c r="M247" s="435">
        <f t="shared" si="14"/>
        <v>0</v>
      </c>
      <c r="N247" s="500">
        <f>PERSONAL!N98</f>
        <v>0</v>
      </c>
      <c r="O247" s="436">
        <f t="shared" si="12"/>
        <v>0</v>
      </c>
      <c r="P247" s="436">
        <f t="shared" si="13"/>
        <v>0</v>
      </c>
      <c r="Q247" s="437">
        <f t="shared" si="15"/>
        <v>0</v>
      </c>
      <c r="R247" s="501">
        <f>PERSONAL!Q98</f>
        <v>0</v>
      </c>
      <c r="T247" s="664">
        <v>1</v>
      </c>
      <c r="U247" s="665">
        <v>1</v>
      </c>
      <c r="V247" s="780"/>
      <c r="W247" s="955"/>
      <c r="X247" s="955"/>
      <c r="Y247" s="955"/>
      <c r="Z247" s="955"/>
      <c r="AA247" s="955"/>
      <c r="AB247" s="955"/>
    </row>
    <row r="248" spans="1:28" ht="13.5" x14ac:dyDescent="0.25">
      <c r="A248" s="786">
        <f>PERSONAL!B99</f>
        <v>0</v>
      </c>
      <c r="B248" s="794"/>
      <c r="C248" s="639">
        <f>PERSONAL!D99</f>
        <v>0</v>
      </c>
      <c r="D248" s="786">
        <f>PERSONAL!E99</f>
        <v>0</v>
      </c>
      <c r="E248" s="794"/>
      <c r="F248" s="639">
        <f>PERSONAL!G99</f>
        <v>0</v>
      </c>
      <c r="G248" s="639">
        <f>PERSONAL!H99</f>
        <v>0</v>
      </c>
      <c r="H248" s="639">
        <f>PERSONAL!I99</f>
        <v>0</v>
      </c>
      <c r="I248" s="639">
        <f>PERSONAL!J99</f>
        <v>0</v>
      </c>
      <c r="J248" s="639">
        <f>PERSONAL!K99</f>
        <v>0</v>
      </c>
      <c r="K248" s="639">
        <f>PERSONAL!L99*T248</f>
        <v>0</v>
      </c>
      <c r="L248" s="639">
        <f>PERSONAL!M99*U248</f>
        <v>0</v>
      </c>
      <c r="M248" s="435">
        <f t="shared" si="14"/>
        <v>0</v>
      </c>
      <c r="N248" s="500">
        <f>PERSONAL!N99</f>
        <v>0</v>
      </c>
      <c r="O248" s="436">
        <f t="shared" si="12"/>
        <v>0</v>
      </c>
      <c r="P248" s="436">
        <f t="shared" si="13"/>
        <v>0</v>
      </c>
      <c r="Q248" s="437">
        <f t="shared" si="15"/>
        <v>0</v>
      </c>
      <c r="R248" s="501">
        <f>PERSONAL!Q99</f>
        <v>0</v>
      </c>
      <c r="T248" s="664">
        <v>1</v>
      </c>
      <c r="U248" s="665">
        <v>1</v>
      </c>
      <c r="V248" s="780"/>
      <c r="W248" s="955"/>
      <c r="X248" s="955"/>
      <c r="Y248" s="955"/>
      <c r="Z248" s="955"/>
      <c r="AA248" s="955"/>
      <c r="AB248" s="955"/>
    </row>
    <row r="249" spans="1:28" ht="13.5" x14ac:dyDescent="0.25">
      <c r="A249" s="786">
        <f>PERSONAL!B100</f>
        <v>0</v>
      </c>
      <c r="B249" s="794"/>
      <c r="C249" s="639">
        <f>PERSONAL!D100</f>
        <v>0</v>
      </c>
      <c r="D249" s="786">
        <f>PERSONAL!E100</f>
        <v>0</v>
      </c>
      <c r="E249" s="794"/>
      <c r="F249" s="639">
        <f>PERSONAL!G100</f>
        <v>0</v>
      </c>
      <c r="G249" s="639">
        <f>PERSONAL!H100</f>
        <v>0</v>
      </c>
      <c r="H249" s="639">
        <f>PERSONAL!I100</f>
        <v>0</v>
      </c>
      <c r="I249" s="639">
        <f>PERSONAL!J100</f>
        <v>0</v>
      </c>
      <c r="J249" s="639">
        <f>PERSONAL!K100</f>
        <v>0</v>
      </c>
      <c r="K249" s="639">
        <f>PERSONAL!L100*T249</f>
        <v>0</v>
      </c>
      <c r="L249" s="639">
        <f>PERSONAL!M100*U249</f>
        <v>0</v>
      </c>
      <c r="M249" s="435">
        <f t="shared" si="14"/>
        <v>0</v>
      </c>
      <c r="N249" s="500">
        <f>PERSONAL!N100</f>
        <v>0</v>
      </c>
      <c r="O249" s="436">
        <f t="shared" si="12"/>
        <v>0</v>
      </c>
      <c r="P249" s="436">
        <f t="shared" si="13"/>
        <v>0</v>
      </c>
      <c r="Q249" s="437">
        <f t="shared" si="15"/>
        <v>0</v>
      </c>
      <c r="R249" s="501">
        <f>PERSONAL!Q100</f>
        <v>0</v>
      </c>
      <c r="T249" s="664">
        <v>1</v>
      </c>
      <c r="U249" s="665">
        <v>1</v>
      </c>
      <c r="V249" s="780"/>
      <c r="W249" s="955"/>
      <c r="X249" s="955"/>
      <c r="Y249" s="955"/>
      <c r="Z249" s="955"/>
      <c r="AA249" s="955"/>
      <c r="AB249" s="955"/>
    </row>
    <row r="250" spans="1:28" ht="13.5" x14ac:dyDescent="0.25">
      <c r="A250" s="786">
        <f>PERSONAL!B101</f>
        <v>0</v>
      </c>
      <c r="B250" s="794"/>
      <c r="C250" s="639">
        <f>PERSONAL!D101</f>
        <v>0</v>
      </c>
      <c r="D250" s="786">
        <f>PERSONAL!E101</f>
        <v>0</v>
      </c>
      <c r="E250" s="794"/>
      <c r="F250" s="639">
        <f>PERSONAL!G101</f>
        <v>0</v>
      </c>
      <c r="G250" s="639">
        <f>PERSONAL!H101</f>
        <v>0</v>
      </c>
      <c r="H250" s="639">
        <f>PERSONAL!I101</f>
        <v>0</v>
      </c>
      <c r="I250" s="639">
        <f>PERSONAL!J101</f>
        <v>0</v>
      </c>
      <c r="J250" s="639">
        <f>PERSONAL!K101</f>
        <v>0</v>
      </c>
      <c r="K250" s="639">
        <f>PERSONAL!L101*T250</f>
        <v>0</v>
      </c>
      <c r="L250" s="639">
        <f>PERSONAL!M101*U250</f>
        <v>0</v>
      </c>
      <c r="M250" s="435">
        <f t="shared" si="14"/>
        <v>0</v>
      </c>
      <c r="N250" s="500">
        <f>PERSONAL!N101</f>
        <v>0</v>
      </c>
      <c r="O250" s="436">
        <f t="shared" si="12"/>
        <v>0</v>
      </c>
      <c r="P250" s="436">
        <f t="shared" si="13"/>
        <v>0</v>
      </c>
      <c r="Q250" s="437">
        <f t="shared" si="15"/>
        <v>0</v>
      </c>
      <c r="R250" s="501">
        <f>PERSONAL!Q101</f>
        <v>0</v>
      </c>
      <c r="T250" s="664">
        <v>1</v>
      </c>
      <c r="U250" s="665">
        <v>1</v>
      </c>
      <c r="V250" s="780"/>
      <c r="W250" s="955"/>
      <c r="X250" s="955"/>
      <c r="Y250" s="955"/>
      <c r="Z250" s="955"/>
      <c r="AA250" s="955"/>
      <c r="AB250" s="955"/>
    </row>
    <row r="251" spans="1:28" ht="13.5" x14ac:dyDescent="0.25">
      <c r="A251" s="786">
        <f>PERSONAL!B102</f>
        <v>0</v>
      </c>
      <c r="B251" s="794"/>
      <c r="C251" s="639">
        <f>PERSONAL!D102</f>
        <v>0</v>
      </c>
      <c r="D251" s="786">
        <f>PERSONAL!E102</f>
        <v>0</v>
      </c>
      <c r="E251" s="794"/>
      <c r="F251" s="639">
        <f>PERSONAL!G102</f>
        <v>0</v>
      </c>
      <c r="G251" s="639">
        <f>PERSONAL!H102</f>
        <v>0</v>
      </c>
      <c r="H251" s="639">
        <f>PERSONAL!I102</f>
        <v>0</v>
      </c>
      <c r="I251" s="639">
        <f>PERSONAL!J102</f>
        <v>0</v>
      </c>
      <c r="J251" s="639">
        <f>PERSONAL!K102</f>
        <v>0</v>
      </c>
      <c r="K251" s="639">
        <f>PERSONAL!L102*T251</f>
        <v>0</v>
      </c>
      <c r="L251" s="639">
        <f>PERSONAL!M102*U251</f>
        <v>0</v>
      </c>
      <c r="M251" s="435">
        <f t="shared" si="14"/>
        <v>0</v>
      </c>
      <c r="N251" s="500">
        <f>PERSONAL!N102</f>
        <v>0</v>
      </c>
      <c r="O251" s="436">
        <f t="shared" si="12"/>
        <v>0</v>
      </c>
      <c r="P251" s="436">
        <f t="shared" si="13"/>
        <v>0</v>
      </c>
      <c r="Q251" s="437">
        <f t="shared" si="15"/>
        <v>0</v>
      </c>
      <c r="R251" s="501">
        <f>PERSONAL!Q102</f>
        <v>0</v>
      </c>
      <c r="T251" s="664">
        <v>1</v>
      </c>
      <c r="U251" s="665">
        <v>1</v>
      </c>
      <c r="V251" s="780"/>
      <c r="W251" s="955"/>
      <c r="X251" s="955"/>
      <c r="Y251" s="955"/>
      <c r="Z251" s="955"/>
      <c r="AA251" s="955"/>
      <c r="AB251" s="955"/>
    </row>
    <row r="252" spans="1:28" ht="14.25" thickBot="1" x14ac:dyDescent="0.3">
      <c r="A252" s="786">
        <f>PERSONAL!B103</f>
        <v>0</v>
      </c>
      <c r="B252" s="794"/>
      <c r="C252" s="639">
        <f>PERSONAL!D103</f>
        <v>0</v>
      </c>
      <c r="D252" s="786">
        <f>PERSONAL!E103</f>
        <v>0</v>
      </c>
      <c r="E252" s="794"/>
      <c r="F252" s="639">
        <f>PERSONAL!G103</f>
        <v>0</v>
      </c>
      <c r="G252" s="639">
        <f>PERSONAL!H103</f>
        <v>0</v>
      </c>
      <c r="H252" s="639">
        <f>PERSONAL!I103</f>
        <v>0</v>
      </c>
      <c r="I252" s="639">
        <f>PERSONAL!J103</f>
        <v>0</v>
      </c>
      <c r="J252" s="639">
        <f>PERSONAL!K103</f>
        <v>0</v>
      </c>
      <c r="K252" s="639">
        <f>PERSONAL!L103*T252</f>
        <v>0</v>
      </c>
      <c r="L252" s="639">
        <f>PERSONAL!M103*U252</f>
        <v>0</v>
      </c>
      <c r="M252" s="435">
        <f t="shared" si="14"/>
        <v>0</v>
      </c>
      <c r="N252" s="500">
        <f>PERSONAL!N103</f>
        <v>0</v>
      </c>
      <c r="O252" s="436">
        <f t="shared" si="12"/>
        <v>0</v>
      </c>
      <c r="P252" s="436">
        <f t="shared" si="13"/>
        <v>0</v>
      </c>
      <c r="Q252" s="437">
        <f t="shared" si="15"/>
        <v>0</v>
      </c>
      <c r="R252" s="501">
        <f>PERSONAL!Q103</f>
        <v>0</v>
      </c>
      <c r="T252" s="666">
        <v>1</v>
      </c>
      <c r="U252" s="667">
        <v>1</v>
      </c>
      <c r="V252" s="953"/>
      <c r="W252" s="954"/>
      <c r="X252" s="954"/>
      <c r="Y252" s="954"/>
      <c r="Z252" s="954"/>
      <c r="AA252" s="954"/>
      <c r="AB252" s="954"/>
    </row>
    <row r="253" spans="1:28" ht="14.25" thickBot="1" x14ac:dyDescent="0.25">
      <c r="A253" s="797" t="str">
        <f>PERSONAL!B104</f>
        <v>TOTALES</v>
      </c>
      <c r="B253" s="798"/>
      <c r="C253" s="798"/>
      <c r="D253" s="798"/>
      <c r="E253" s="798"/>
      <c r="F253" s="798"/>
      <c r="G253" s="798"/>
      <c r="H253" s="798"/>
      <c r="I253" s="798"/>
      <c r="J253" s="798"/>
      <c r="K253" s="414">
        <f t="shared" ref="K253:R253" si="16">SUM(K164:K252)</f>
        <v>0</v>
      </c>
      <c r="L253" s="414">
        <f t="shared" si="16"/>
        <v>0</v>
      </c>
      <c r="M253" s="539">
        <f t="shared" si="16"/>
        <v>0</v>
      </c>
      <c r="N253" s="540">
        <f t="shared" si="16"/>
        <v>0</v>
      </c>
      <c r="O253" s="541">
        <f t="shared" si="16"/>
        <v>0</v>
      </c>
      <c r="P253" s="541">
        <f t="shared" si="16"/>
        <v>0</v>
      </c>
      <c r="Q253" s="541">
        <f t="shared" si="16"/>
        <v>0</v>
      </c>
      <c r="R253" s="542">
        <f t="shared" si="16"/>
        <v>0</v>
      </c>
    </row>
    <row r="254" spans="1:28" ht="13.5" thickBot="1" x14ac:dyDescent="0.25">
      <c r="A254" s="34"/>
      <c r="B254" s="34"/>
      <c r="C254" s="34"/>
      <c r="D254" s="34"/>
      <c r="E254" s="34"/>
      <c r="F254" s="34"/>
      <c r="G254" s="34"/>
      <c r="H254" s="34"/>
      <c r="I254" s="34"/>
      <c r="J254" s="34"/>
      <c r="K254" s="34"/>
      <c r="L254" s="34"/>
      <c r="M254" s="34"/>
      <c r="N254" s="34"/>
      <c r="O254" s="34"/>
      <c r="P254" s="34"/>
    </row>
    <row r="255" spans="1:28" ht="27" x14ac:dyDescent="0.2">
      <c r="A255" s="249" t="s">
        <v>260</v>
      </c>
      <c r="B255" s="250">
        <f>SUMIF(F164:F252,"M",M164:M252)</f>
        <v>0</v>
      </c>
      <c r="C255" s="251" t="s">
        <v>276</v>
      </c>
      <c r="D255" s="250">
        <f>SUMIF(F164:F252,"H",M164:M252)</f>
        <v>0</v>
      </c>
      <c r="E255" s="251" t="s">
        <v>259</v>
      </c>
      <c r="F255" s="250">
        <f>SUMIF(G164:G252,"doctor",M164:M252)</f>
        <v>0</v>
      </c>
      <c r="G255" s="251" t="s">
        <v>264</v>
      </c>
      <c r="H255" s="252">
        <f>SUMIF(H164:H252,"SI",M164:M252)</f>
        <v>0</v>
      </c>
      <c r="I255" s="795" t="s">
        <v>269</v>
      </c>
      <c r="J255" s="795"/>
      <c r="K255" s="795"/>
      <c r="L255" s="416">
        <f>B255+D255</f>
        <v>0</v>
      </c>
      <c r="M255" s="34"/>
      <c r="N255" s="249" t="s">
        <v>555</v>
      </c>
      <c r="O255" s="251" t="s">
        <v>11</v>
      </c>
      <c r="P255" s="251" t="s">
        <v>12</v>
      </c>
      <c r="Q255" s="470" t="s">
        <v>60</v>
      </c>
    </row>
    <row r="256" spans="1:28" ht="27.75" thickBot="1" x14ac:dyDescent="0.25">
      <c r="A256" s="254" t="s">
        <v>261</v>
      </c>
      <c r="B256" s="255">
        <f>COUNTIF(F164:F252,"M")</f>
        <v>0</v>
      </c>
      <c r="C256" s="256" t="s">
        <v>262</v>
      </c>
      <c r="D256" s="255">
        <f>COUNTIF(F164:F252,"H")</f>
        <v>0</v>
      </c>
      <c r="E256" s="256" t="s">
        <v>263</v>
      </c>
      <c r="F256" s="255">
        <f>COUNTIF(G164:G252,"doctor")</f>
        <v>0</v>
      </c>
      <c r="G256" s="256" t="s">
        <v>265</v>
      </c>
      <c r="H256" s="255">
        <f>COUNTIF(H164:H252,"SI")</f>
        <v>0</v>
      </c>
      <c r="I256" s="796" t="s">
        <v>270</v>
      </c>
      <c r="J256" s="796"/>
      <c r="K256" s="796"/>
      <c r="L256" s="419">
        <f>B256+D256</f>
        <v>0</v>
      </c>
      <c r="M256" s="34"/>
      <c r="N256" s="254" t="s">
        <v>553</v>
      </c>
      <c r="O256" s="472">
        <f>IFERROR(ROUND(PERSONAL!L104/PERSONAL!$G$3,2),"")</f>
        <v>0</v>
      </c>
      <c r="P256" s="472">
        <f>IFERROR(ROUND(PERSONAL!M104/PERSONAL!$G$3,2),"")</f>
        <v>0</v>
      </c>
      <c r="Q256" s="473">
        <f>IFERROR(ROUND(PERSONAL!N104/PERSONAL!$G$3,2),"")</f>
        <v>0</v>
      </c>
    </row>
    <row r="257" spans="1:28" ht="27.75" thickBot="1" x14ac:dyDescent="0.25">
      <c r="A257" s="417" t="s">
        <v>256</v>
      </c>
      <c r="B257" s="418">
        <f>IF(M253=0,0,B255/M253)</f>
        <v>0</v>
      </c>
      <c r="C257" s="397" t="s">
        <v>257</v>
      </c>
      <c r="D257" s="418">
        <f>IF(M253=0,0,D255/M253)</f>
        <v>0</v>
      </c>
      <c r="E257" s="397" t="s">
        <v>258</v>
      </c>
      <c r="F257" s="418">
        <f>IF(M253=0,0,F255/M253)</f>
        <v>0</v>
      </c>
      <c r="G257" s="397" t="s">
        <v>266</v>
      </c>
      <c r="H257" s="418">
        <f>IF(M253=0,0,H255/M253)</f>
        <v>0</v>
      </c>
      <c r="I257" s="852" t="s">
        <v>123</v>
      </c>
      <c r="J257" s="852"/>
      <c r="K257" s="853"/>
      <c r="L257" s="253"/>
      <c r="M257" s="34"/>
      <c r="N257" s="471" t="s">
        <v>554</v>
      </c>
      <c r="O257" s="474">
        <f>IFERROR(ROUND(K253/PERSONAL!$G$3,2),"")</f>
        <v>0</v>
      </c>
      <c r="P257" s="474">
        <f>IFERROR(ROUND(L253/PERSONAL!$G$3,2),"")</f>
        <v>0</v>
      </c>
      <c r="Q257" s="475">
        <f>IFERROR(ROUND(M253/PERSONAL!$G$3,2),"")</f>
        <v>0</v>
      </c>
    </row>
    <row r="259" spans="1:28" x14ac:dyDescent="0.2">
      <c r="A259" s="427"/>
      <c r="B259" s="428" t="s">
        <v>527</v>
      </c>
      <c r="C259" s="427"/>
      <c r="D259" s="427"/>
      <c r="E259" s="427"/>
      <c r="F259" s="427"/>
      <c r="G259" s="427"/>
      <c r="H259" s="427"/>
      <c r="I259" s="426"/>
      <c r="J259" s="426"/>
      <c r="K259" s="426"/>
      <c r="L259" s="426"/>
      <c r="M259" s="426"/>
      <c r="N259" s="426"/>
      <c r="O259" s="426"/>
      <c r="P259" s="426"/>
      <c r="Q259" s="426"/>
      <c r="R259" s="426"/>
      <c r="S259" s="426"/>
      <c r="T259" s="426"/>
      <c r="U259" s="426"/>
      <c r="V259" s="426"/>
      <c r="W259" s="426"/>
      <c r="X259" s="426"/>
      <c r="Y259" s="426"/>
      <c r="Z259" s="426"/>
      <c r="AA259" s="426"/>
      <c r="AB259" s="426"/>
    </row>
    <row r="260" spans="1:28" s="461" customFormat="1" x14ac:dyDescent="0.2">
      <c r="A260" s="459"/>
      <c r="B260" s="459"/>
      <c r="C260" s="459"/>
      <c r="D260" s="459"/>
      <c r="E260" s="459"/>
      <c r="F260" s="459"/>
      <c r="G260" s="459"/>
      <c r="H260" s="459"/>
      <c r="I260" s="460"/>
      <c r="J260" s="459"/>
      <c r="K260" s="459"/>
      <c r="L260" s="460"/>
    </row>
    <row r="261" spans="1:28" s="461" customFormat="1" x14ac:dyDescent="0.2">
      <c r="A261" s="462" t="s">
        <v>549</v>
      </c>
      <c r="B261" s="463"/>
      <c r="C261" s="463"/>
      <c r="D261" s="463"/>
      <c r="E261" s="465"/>
      <c r="F261" s="465"/>
      <c r="G261" s="465"/>
      <c r="H261" s="464" t="s">
        <v>560</v>
      </c>
      <c r="I261" s="466"/>
      <c r="J261" s="465"/>
      <c r="K261" s="465"/>
      <c r="L261" s="466"/>
      <c r="M261" s="466"/>
    </row>
    <row r="262" spans="1:28" s="461" customFormat="1" x14ac:dyDescent="0.2">
      <c r="A262" s="464" t="s">
        <v>550</v>
      </c>
      <c r="B262" s="465"/>
      <c r="C262" s="465"/>
      <c r="D262" s="465"/>
      <c r="E262" s="465"/>
      <c r="F262" s="465"/>
      <c r="G262" s="465"/>
      <c r="H262" s="465"/>
      <c r="I262" s="466"/>
      <c r="J262" s="465"/>
      <c r="K262" s="465"/>
      <c r="L262" s="466"/>
      <c r="M262" s="466"/>
    </row>
    <row r="263" spans="1:28" s="461" customFormat="1" ht="13.5" thickBot="1" x14ac:dyDescent="0.25">
      <c r="A263" s="464"/>
      <c r="B263" s="465"/>
      <c r="C263" s="465"/>
      <c r="D263" s="465"/>
      <c r="E263" s="465"/>
      <c r="F263" s="467" t="s">
        <v>551</v>
      </c>
      <c r="G263" s="465"/>
      <c r="H263" s="465"/>
      <c r="I263" s="466"/>
      <c r="J263" s="465"/>
      <c r="K263" s="465"/>
      <c r="L263" s="466"/>
      <c r="M263" s="466"/>
    </row>
    <row r="264" spans="1:28" s="461" customFormat="1" x14ac:dyDescent="0.2">
      <c r="A264" s="713"/>
      <c r="B264" s="714"/>
      <c r="C264" s="714"/>
      <c r="D264" s="714"/>
      <c r="E264" s="714"/>
      <c r="F264" s="714"/>
      <c r="G264" s="714"/>
      <c r="H264" s="714"/>
      <c r="I264" s="714"/>
      <c r="J264" s="714"/>
      <c r="K264" s="714"/>
      <c r="L264" s="714"/>
      <c r="M264" s="715"/>
    </row>
    <row r="265" spans="1:28" s="461" customFormat="1" x14ac:dyDescent="0.2">
      <c r="A265" s="716"/>
      <c r="B265" s="717"/>
      <c r="C265" s="717"/>
      <c r="D265" s="717"/>
      <c r="E265" s="717"/>
      <c r="F265" s="717"/>
      <c r="G265" s="717"/>
      <c r="H265" s="717"/>
      <c r="I265" s="717"/>
      <c r="J265" s="717"/>
      <c r="K265" s="717"/>
      <c r="L265" s="717"/>
      <c r="M265" s="718"/>
    </row>
    <row r="266" spans="1:28" s="461" customFormat="1" x14ac:dyDescent="0.2">
      <c r="A266" s="716"/>
      <c r="B266" s="717"/>
      <c r="C266" s="717"/>
      <c r="D266" s="717"/>
      <c r="E266" s="717"/>
      <c r="F266" s="717"/>
      <c r="G266" s="717"/>
      <c r="H266" s="717"/>
      <c r="I266" s="717"/>
      <c r="J266" s="717"/>
      <c r="K266" s="717"/>
      <c r="L266" s="717"/>
      <c r="M266" s="718"/>
    </row>
    <row r="267" spans="1:28" s="461" customFormat="1" x14ac:dyDescent="0.2">
      <c r="A267" s="716"/>
      <c r="B267" s="717"/>
      <c r="C267" s="717"/>
      <c r="D267" s="717"/>
      <c r="E267" s="717"/>
      <c r="F267" s="717"/>
      <c r="G267" s="717"/>
      <c r="H267" s="717"/>
      <c r="I267" s="717"/>
      <c r="J267" s="717"/>
      <c r="K267" s="717"/>
      <c r="L267" s="717"/>
      <c r="M267" s="718"/>
    </row>
    <row r="268" spans="1:28" s="461" customFormat="1" x14ac:dyDescent="0.2">
      <c r="A268" s="716"/>
      <c r="B268" s="717"/>
      <c r="C268" s="717"/>
      <c r="D268" s="717"/>
      <c r="E268" s="717"/>
      <c r="F268" s="717"/>
      <c r="G268" s="717"/>
      <c r="H268" s="717"/>
      <c r="I268" s="717"/>
      <c r="J268" s="717"/>
      <c r="K268" s="717"/>
      <c r="L268" s="717"/>
      <c r="M268" s="718"/>
    </row>
    <row r="269" spans="1:28" s="461" customFormat="1" x14ac:dyDescent="0.2">
      <c r="A269" s="716"/>
      <c r="B269" s="717"/>
      <c r="C269" s="717"/>
      <c r="D269" s="717"/>
      <c r="E269" s="717"/>
      <c r="F269" s="717"/>
      <c r="G269" s="717"/>
      <c r="H269" s="717"/>
      <c r="I269" s="717"/>
      <c r="J269" s="717"/>
      <c r="K269" s="717"/>
      <c r="L269" s="717"/>
      <c r="M269" s="718"/>
    </row>
    <row r="270" spans="1:28" s="461" customFormat="1" x14ac:dyDescent="0.2">
      <c r="A270" s="716"/>
      <c r="B270" s="717"/>
      <c r="C270" s="717"/>
      <c r="D270" s="717"/>
      <c r="E270" s="717"/>
      <c r="F270" s="717"/>
      <c r="G270" s="717"/>
      <c r="H270" s="717"/>
      <c r="I270" s="717"/>
      <c r="J270" s="717"/>
      <c r="K270" s="717"/>
      <c r="L270" s="717"/>
      <c r="M270" s="718"/>
    </row>
    <row r="271" spans="1:28" s="461" customFormat="1" x14ac:dyDescent="0.2">
      <c r="A271" s="716"/>
      <c r="B271" s="717"/>
      <c r="C271" s="717"/>
      <c r="D271" s="717"/>
      <c r="E271" s="717"/>
      <c r="F271" s="717"/>
      <c r="G271" s="717"/>
      <c r="H271" s="717"/>
      <c r="I271" s="717"/>
      <c r="J271" s="717"/>
      <c r="K271" s="717"/>
      <c r="L271" s="717"/>
      <c r="M271" s="718"/>
    </row>
    <row r="272" spans="1:28" s="461" customFormat="1" x14ac:dyDescent="0.2">
      <c r="A272" s="716"/>
      <c r="B272" s="717"/>
      <c r="C272" s="717"/>
      <c r="D272" s="717"/>
      <c r="E272" s="717"/>
      <c r="F272" s="717"/>
      <c r="G272" s="717"/>
      <c r="H272" s="717"/>
      <c r="I272" s="717"/>
      <c r="J272" s="717"/>
      <c r="K272" s="717"/>
      <c r="L272" s="717"/>
      <c r="M272" s="718"/>
    </row>
    <row r="273" spans="1:20" s="461" customFormat="1" ht="13.5" thickBot="1" x14ac:dyDescent="0.25">
      <c r="A273" s="719"/>
      <c r="B273" s="720"/>
      <c r="C273" s="720"/>
      <c r="D273" s="720"/>
      <c r="E273" s="720"/>
      <c r="F273" s="720"/>
      <c r="G273" s="720"/>
      <c r="H273" s="720"/>
      <c r="I273" s="720"/>
      <c r="J273" s="720"/>
      <c r="K273" s="720"/>
      <c r="L273" s="720"/>
      <c r="M273" s="721"/>
    </row>
    <row r="274" spans="1:20" ht="13.5" thickBot="1" x14ac:dyDescent="0.25"/>
    <row r="275" spans="1:20" ht="17.25" customHeight="1" thickBot="1" x14ac:dyDescent="0.25">
      <c r="A275" s="928" t="s">
        <v>63</v>
      </c>
      <c r="B275" s="929"/>
      <c r="C275" s="929"/>
      <c r="D275" s="930"/>
      <c r="E275" s="799" t="s">
        <v>11</v>
      </c>
      <c r="F275" s="800"/>
      <c r="G275" s="799" t="s">
        <v>12</v>
      </c>
      <c r="H275" s="800"/>
      <c r="I275" s="801" t="s">
        <v>62</v>
      </c>
      <c r="J275" s="802"/>
      <c r="L275" s="850" t="s">
        <v>552</v>
      </c>
      <c r="M275" s="851"/>
    </row>
    <row r="276" spans="1:20" ht="17.25" thickBot="1" x14ac:dyDescent="0.25">
      <c r="A276" s="931"/>
      <c r="B276" s="932"/>
      <c r="C276" s="932"/>
      <c r="D276" s="933"/>
      <c r="E276" s="504" t="s">
        <v>554</v>
      </c>
      <c r="F276" s="505" t="s">
        <v>553</v>
      </c>
      <c r="G276" s="506" t="s">
        <v>554</v>
      </c>
      <c r="H276" s="505" t="s">
        <v>553</v>
      </c>
      <c r="I276" s="506" t="s">
        <v>554</v>
      </c>
      <c r="J276" s="507" t="s">
        <v>553</v>
      </c>
      <c r="L276" s="239" t="s">
        <v>11</v>
      </c>
      <c r="M276" s="574" t="s">
        <v>12</v>
      </c>
      <c r="N276" s="1000" t="s">
        <v>624</v>
      </c>
      <c r="O276" s="1000"/>
      <c r="P276" s="1000"/>
      <c r="Q276" s="1000"/>
      <c r="R276" s="1000"/>
      <c r="S276" s="1000"/>
      <c r="T276" s="1000"/>
    </row>
    <row r="277" spans="1:20" x14ac:dyDescent="0.2">
      <c r="A277" s="818">
        <f>MATERIALES!B6</f>
        <v>0</v>
      </c>
      <c r="B277" s="819"/>
      <c r="C277" s="819"/>
      <c r="D277" s="819"/>
      <c r="E277" s="668">
        <f>MATERIALES!C6*L277</f>
        <v>0</v>
      </c>
      <c r="F277" s="537">
        <f>MATERIALES!C6</f>
        <v>0</v>
      </c>
      <c r="G277" s="668">
        <f>MATERIALES!D6*M277</f>
        <v>0</v>
      </c>
      <c r="H277" s="537">
        <f>MATERIALES!D6</f>
        <v>0</v>
      </c>
      <c r="I277" s="508">
        <f t="shared" ref="I277:I302" si="17">SUM(E277:G277)</f>
        <v>0</v>
      </c>
      <c r="J277" s="515">
        <f>MATERIALES!E6</f>
        <v>0</v>
      </c>
      <c r="L277" s="662">
        <v>1</v>
      </c>
      <c r="M277" s="663">
        <v>1</v>
      </c>
      <c r="N277" s="780"/>
      <c r="O277" s="955"/>
      <c r="P277" s="955"/>
      <c r="Q277" s="955"/>
      <c r="R277" s="955"/>
      <c r="S277" s="955"/>
      <c r="T277" s="955"/>
    </row>
    <row r="278" spans="1:20" x14ac:dyDescent="0.2">
      <c r="A278" s="725">
        <f>MATERIALES!B7</f>
        <v>0</v>
      </c>
      <c r="B278" s="700"/>
      <c r="C278" s="700"/>
      <c r="D278" s="700"/>
      <c r="E278" s="669">
        <f>MATERIALES!C7*L278</f>
        <v>0</v>
      </c>
      <c r="F278" s="537">
        <f>MATERIALES!C7</f>
        <v>0</v>
      </c>
      <c r="G278" s="669">
        <f>MATERIALES!D7*M278</f>
        <v>0</v>
      </c>
      <c r="H278" s="537">
        <f>MATERIALES!D7</f>
        <v>0</v>
      </c>
      <c r="I278" s="509">
        <f t="shared" si="17"/>
        <v>0</v>
      </c>
      <c r="J278" s="513">
        <f>MATERIALES!E7</f>
        <v>0</v>
      </c>
      <c r="L278" s="664">
        <v>1</v>
      </c>
      <c r="M278" s="665">
        <v>1</v>
      </c>
      <c r="N278" s="780"/>
      <c r="O278" s="955"/>
      <c r="P278" s="955"/>
      <c r="Q278" s="955"/>
      <c r="R278" s="955"/>
      <c r="S278" s="955"/>
      <c r="T278" s="955"/>
    </row>
    <row r="279" spans="1:20" x14ac:dyDescent="0.2">
      <c r="A279" s="725">
        <f>MATERIALES!B8</f>
        <v>0</v>
      </c>
      <c r="B279" s="700"/>
      <c r="C279" s="700"/>
      <c r="D279" s="700"/>
      <c r="E279" s="669">
        <f>MATERIALES!C8*L279</f>
        <v>0</v>
      </c>
      <c r="F279" s="537">
        <f>MATERIALES!C8</f>
        <v>0</v>
      </c>
      <c r="G279" s="669">
        <f>MATERIALES!D8*M279</f>
        <v>0</v>
      </c>
      <c r="H279" s="537">
        <f>MATERIALES!D8</f>
        <v>0</v>
      </c>
      <c r="I279" s="509">
        <f t="shared" si="17"/>
        <v>0</v>
      </c>
      <c r="J279" s="513">
        <f>MATERIALES!E8</f>
        <v>0</v>
      </c>
      <c r="L279" s="664">
        <v>1</v>
      </c>
      <c r="M279" s="665">
        <v>1</v>
      </c>
      <c r="N279" s="780"/>
      <c r="O279" s="955"/>
      <c r="P279" s="955"/>
      <c r="Q279" s="955"/>
      <c r="R279" s="955"/>
      <c r="S279" s="955"/>
      <c r="T279" s="955"/>
    </row>
    <row r="280" spans="1:20" x14ac:dyDescent="0.2">
      <c r="A280" s="725">
        <f>MATERIALES!B9</f>
        <v>0</v>
      </c>
      <c r="B280" s="700"/>
      <c r="C280" s="700"/>
      <c r="D280" s="700"/>
      <c r="E280" s="669">
        <f>MATERIALES!C9*L280</f>
        <v>0</v>
      </c>
      <c r="F280" s="537">
        <f>MATERIALES!C9</f>
        <v>0</v>
      </c>
      <c r="G280" s="669">
        <f>MATERIALES!D9*M280</f>
        <v>0</v>
      </c>
      <c r="H280" s="537">
        <f>MATERIALES!D9</f>
        <v>0</v>
      </c>
      <c r="I280" s="509">
        <f t="shared" si="17"/>
        <v>0</v>
      </c>
      <c r="J280" s="513">
        <f>MATERIALES!E9</f>
        <v>0</v>
      </c>
      <c r="L280" s="664">
        <v>1</v>
      </c>
      <c r="M280" s="665">
        <v>1</v>
      </c>
      <c r="N280" s="780"/>
      <c r="O280" s="955"/>
      <c r="P280" s="955"/>
      <c r="Q280" s="955"/>
      <c r="R280" s="955"/>
      <c r="S280" s="955"/>
      <c r="T280" s="955"/>
    </row>
    <row r="281" spans="1:20" x14ac:dyDescent="0.2">
      <c r="A281" s="725">
        <f>MATERIALES!B10</f>
        <v>0</v>
      </c>
      <c r="B281" s="700"/>
      <c r="C281" s="700"/>
      <c r="D281" s="700"/>
      <c r="E281" s="669">
        <f>MATERIALES!C10*L281</f>
        <v>0</v>
      </c>
      <c r="F281" s="537">
        <f>MATERIALES!C10</f>
        <v>0</v>
      </c>
      <c r="G281" s="669">
        <f>MATERIALES!D10*M281</f>
        <v>0</v>
      </c>
      <c r="H281" s="537">
        <f>MATERIALES!D10</f>
        <v>0</v>
      </c>
      <c r="I281" s="509">
        <f t="shared" si="17"/>
        <v>0</v>
      </c>
      <c r="J281" s="513">
        <f>MATERIALES!E10</f>
        <v>0</v>
      </c>
      <c r="L281" s="664">
        <v>1</v>
      </c>
      <c r="M281" s="665">
        <v>1</v>
      </c>
      <c r="N281" s="780"/>
      <c r="O281" s="955"/>
      <c r="P281" s="955"/>
      <c r="Q281" s="955"/>
      <c r="R281" s="955"/>
      <c r="S281" s="955"/>
      <c r="T281" s="955"/>
    </row>
    <row r="282" spans="1:20" x14ac:dyDescent="0.2">
      <c r="A282" s="725">
        <f>MATERIALES!B11</f>
        <v>0</v>
      </c>
      <c r="B282" s="700"/>
      <c r="C282" s="700"/>
      <c r="D282" s="700"/>
      <c r="E282" s="669">
        <f>MATERIALES!C11*L282</f>
        <v>0</v>
      </c>
      <c r="F282" s="537">
        <f>MATERIALES!C11</f>
        <v>0</v>
      </c>
      <c r="G282" s="669">
        <f>MATERIALES!D11*M282</f>
        <v>0</v>
      </c>
      <c r="H282" s="537">
        <f>MATERIALES!D11</f>
        <v>0</v>
      </c>
      <c r="I282" s="509">
        <f t="shared" si="17"/>
        <v>0</v>
      </c>
      <c r="J282" s="513">
        <f>MATERIALES!E11</f>
        <v>0</v>
      </c>
      <c r="L282" s="664">
        <v>1</v>
      </c>
      <c r="M282" s="665">
        <v>1</v>
      </c>
      <c r="N282" s="780"/>
      <c r="O282" s="955"/>
      <c r="P282" s="955"/>
      <c r="Q282" s="955"/>
      <c r="R282" s="955"/>
      <c r="S282" s="955"/>
      <c r="T282" s="955"/>
    </row>
    <row r="283" spans="1:20" x14ac:dyDescent="0.2">
      <c r="A283" s="725">
        <f>MATERIALES!B12</f>
        <v>0</v>
      </c>
      <c r="B283" s="700"/>
      <c r="C283" s="700"/>
      <c r="D283" s="700"/>
      <c r="E283" s="669">
        <f>MATERIALES!C12*L283</f>
        <v>0</v>
      </c>
      <c r="F283" s="537">
        <f>MATERIALES!C12</f>
        <v>0</v>
      </c>
      <c r="G283" s="669">
        <f>MATERIALES!D12*M283</f>
        <v>0</v>
      </c>
      <c r="H283" s="537">
        <f>MATERIALES!D12</f>
        <v>0</v>
      </c>
      <c r="I283" s="509">
        <f t="shared" si="17"/>
        <v>0</v>
      </c>
      <c r="J283" s="513">
        <f>MATERIALES!E12</f>
        <v>0</v>
      </c>
      <c r="L283" s="664">
        <v>1</v>
      </c>
      <c r="M283" s="665">
        <v>1</v>
      </c>
      <c r="N283" s="780"/>
      <c r="O283" s="955"/>
      <c r="P283" s="955"/>
      <c r="Q283" s="955"/>
      <c r="R283" s="955"/>
      <c r="S283" s="955"/>
      <c r="T283" s="955"/>
    </row>
    <row r="284" spans="1:20" x14ac:dyDescent="0.2">
      <c r="A284" s="725">
        <f>MATERIALES!B13</f>
        <v>0</v>
      </c>
      <c r="B284" s="700"/>
      <c r="C284" s="700"/>
      <c r="D284" s="700"/>
      <c r="E284" s="669">
        <f>MATERIALES!C13*L284</f>
        <v>0</v>
      </c>
      <c r="F284" s="537">
        <f>MATERIALES!C13</f>
        <v>0</v>
      </c>
      <c r="G284" s="669">
        <f>MATERIALES!D13*M284</f>
        <v>0</v>
      </c>
      <c r="H284" s="537">
        <f>MATERIALES!D13</f>
        <v>0</v>
      </c>
      <c r="I284" s="509">
        <f t="shared" si="17"/>
        <v>0</v>
      </c>
      <c r="J284" s="513">
        <f>MATERIALES!E13</f>
        <v>0</v>
      </c>
      <c r="L284" s="664">
        <v>1</v>
      </c>
      <c r="M284" s="665">
        <v>1</v>
      </c>
      <c r="N284" s="780"/>
      <c r="O284" s="955"/>
      <c r="P284" s="955"/>
      <c r="Q284" s="955"/>
      <c r="R284" s="955"/>
      <c r="S284" s="955"/>
      <c r="T284" s="955"/>
    </row>
    <row r="285" spans="1:20" x14ac:dyDescent="0.2">
      <c r="A285" s="725">
        <f>MATERIALES!B14</f>
        <v>0</v>
      </c>
      <c r="B285" s="700"/>
      <c r="C285" s="700"/>
      <c r="D285" s="700"/>
      <c r="E285" s="669">
        <f>MATERIALES!C14*L285</f>
        <v>0</v>
      </c>
      <c r="F285" s="537">
        <f>MATERIALES!C14</f>
        <v>0</v>
      </c>
      <c r="G285" s="669">
        <f>MATERIALES!D14*M285</f>
        <v>0</v>
      </c>
      <c r="H285" s="537">
        <f>MATERIALES!D14</f>
        <v>0</v>
      </c>
      <c r="I285" s="509">
        <f t="shared" si="17"/>
        <v>0</v>
      </c>
      <c r="J285" s="513">
        <f>MATERIALES!E14</f>
        <v>0</v>
      </c>
      <c r="L285" s="664">
        <v>1</v>
      </c>
      <c r="M285" s="665">
        <v>1</v>
      </c>
      <c r="N285" s="780"/>
      <c r="O285" s="955"/>
      <c r="P285" s="955"/>
      <c r="Q285" s="955"/>
      <c r="R285" s="955"/>
      <c r="S285" s="955"/>
      <c r="T285" s="955"/>
    </row>
    <row r="286" spans="1:20" x14ac:dyDescent="0.2">
      <c r="A286" s="725">
        <f>MATERIALES!B15</f>
        <v>0</v>
      </c>
      <c r="B286" s="700"/>
      <c r="C286" s="700"/>
      <c r="D286" s="700"/>
      <c r="E286" s="669">
        <f>MATERIALES!C15*L286</f>
        <v>0</v>
      </c>
      <c r="F286" s="537">
        <f>MATERIALES!C15</f>
        <v>0</v>
      </c>
      <c r="G286" s="669">
        <f>MATERIALES!D15*M286</f>
        <v>0</v>
      </c>
      <c r="H286" s="537">
        <f>MATERIALES!D15</f>
        <v>0</v>
      </c>
      <c r="I286" s="509">
        <f t="shared" si="17"/>
        <v>0</v>
      </c>
      <c r="J286" s="513">
        <f>MATERIALES!E15</f>
        <v>0</v>
      </c>
      <c r="L286" s="664">
        <v>1</v>
      </c>
      <c r="M286" s="665">
        <v>1</v>
      </c>
      <c r="N286" s="780"/>
      <c r="O286" s="955"/>
      <c r="P286" s="955"/>
      <c r="Q286" s="955"/>
      <c r="R286" s="955"/>
      <c r="S286" s="955"/>
      <c r="T286" s="955"/>
    </row>
    <row r="287" spans="1:20" x14ac:dyDescent="0.2">
      <c r="A287" s="725">
        <f>MATERIALES!B16</f>
        <v>0</v>
      </c>
      <c r="B287" s="700"/>
      <c r="C287" s="700"/>
      <c r="D287" s="700"/>
      <c r="E287" s="669">
        <f>MATERIALES!C16*L287</f>
        <v>0</v>
      </c>
      <c r="F287" s="537">
        <f>MATERIALES!C16</f>
        <v>0</v>
      </c>
      <c r="G287" s="669">
        <f>MATERIALES!D16*M287</f>
        <v>0</v>
      </c>
      <c r="H287" s="537">
        <f>MATERIALES!D16</f>
        <v>0</v>
      </c>
      <c r="I287" s="509">
        <f t="shared" si="17"/>
        <v>0</v>
      </c>
      <c r="J287" s="513">
        <f>MATERIALES!E16</f>
        <v>0</v>
      </c>
      <c r="L287" s="664">
        <v>1</v>
      </c>
      <c r="M287" s="665">
        <v>1</v>
      </c>
      <c r="N287" s="780"/>
      <c r="O287" s="955"/>
      <c r="P287" s="955"/>
      <c r="Q287" s="955"/>
      <c r="R287" s="955"/>
      <c r="S287" s="955"/>
      <c r="T287" s="955"/>
    </row>
    <row r="288" spans="1:20" x14ac:dyDescent="0.2">
      <c r="A288" s="725">
        <f>MATERIALES!B17</f>
        <v>0</v>
      </c>
      <c r="B288" s="700"/>
      <c r="C288" s="700"/>
      <c r="D288" s="700"/>
      <c r="E288" s="669">
        <f>MATERIALES!C17*L288</f>
        <v>0</v>
      </c>
      <c r="F288" s="537">
        <f>MATERIALES!C17</f>
        <v>0</v>
      </c>
      <c r="G288" s="669">
        <f>MATERIALES!D17*M288</f>
        <v>0</v>
      </c>
      <c r="H288" s="537">
        <f>MATERIALES!D17</f>
        <v>0</v>
      </c>
      <c r="I288" s="509">
        <f t="shared" si="17"/>
        <v>0</v>
      </c>
      <c r="J288" s="513">
        <f>MATERIALES!E17</f>
        <v>0</v>
      </c>
      <c r="L288" s="664">
        <v>1</v>
      </c>
      <c r="M288" s="665">
        <v>1</v>
      </c>
      <c r="N288" s="780"/>
      <c r="O288" s="955"/>
      <c r="P288" s="955"/>
      <c r="Q288" s="955"/>
      <c r="R288" s="955"/>
      <c r="S288" s="955"/>
      <c r="T288" s="955"/>
    </row>
    <row r="289" spans="1:20" x14ac:dyDescent="0.2">
      <c r="A289" s="725">
        <f>MATERIALES!B18</f>
        <v>0</v>
      </c>
      <c r="B289" s="700"/>
      <c r="C289" s="700"/>
      <c r="D289" s="700"/>
      <c r="E289" s="669">
        <f>MATERIALES!C18*L289</f>
        <v>0</v>
      </c>
      <c r="F289" s="537">
        <f>MATERIALES!C18</f>
        <v>0</v>
      </c>
      <c r="G289" s="669">
        <f>MATERIALES!D18*M289</f>
        <v>0</v>
      </c>
      <c r="H289" s="537">
        <f>MATERIALES!D18</f>
        <v>0</v>
      </c>
      <c r="I289" s="509">
        <f t="shared" si="17"/>
        <v>0</v>
      </c>
      <c r="J289" s="513">
        <f>MATERIALES!E18</f>
        <v>0</v>
      </c>
      <c r="L289" s="664">
        <v>1</v>
      </c>
      <c r="M289" s="665">
        <v>1</v>
      </c>
      <c r="N289" s="780"/>
      <c r="O289" s="955"/>
      <c r="P289" s="955"/>
      <c r="Q289" s="955"/>
      <c r="R289" s="955"/>
      <c r="S289" s="955"/>
      <c r="T289" s="955"/>
    </row>
    <row r="290" spans="1:20" x14ac:dyDescent="0.2">
      <c r="A290" s="725">
        <f>MATERIALES!B19</f>
        <v>0</v>
      </c>
      <c r="B290" s="700"/>
      <c r="C290" s="700"/>
      <c r="D290" s="700"/>
      <c r="E290" s="669">
        <f>MATERIALES!C19*L290</f>
        <v>0</v>
      </c>
      <c r="F290" s="537">
        <f>MATERIALES!C19</f>
        <v>0</v>
      </c>
      <c r="G290" s="669">
        <f>MATERIALES!D19*M290</f>
        <v>0</v>
      </c>
      <c r="H290" s="537">
        <f>MATERIALES!D19</f>
        <v>0</v>
      </c>
      <c r="I290" s="509">
        <f t="shared" si="17"/>
        <v>0</v>
      </c>
      <c r="J290" s="513">
        <f>MATERIALES!E19</f>
        <v>0</v>
      </c>
      <c r="L290" s="664">
        <v>1</v>
      </c>
      <c r="M290" s="665">
        <v>1</v>
      </c>
      <c r="N290" s="780"/>
      <c r="O290" s="955"/>
      <c r="P290" s="955"/>
      <c r="Q290" s="955"/>
      <c r="R290" s="955"/>
      <c r="S290" s="955"/>
      <c r="T290" s="955"/>
    </row>
    <row r="291" spans="1:20" x14ac:dyDescent="0.2">
      <c r="A291" s="725">
        <f>MATERIALES!B20</f>
        <v>0</v>
      </c>
      <c r="B291" s="700"/>
      <c r="C291" s="700"/>
      <c r="D291" s="700"/>
      <c r="E291" s="669">
        <f>MATERIALES!C20*L291</f>
        <v>0</v>
      </c>
      <c r="F291" s="537">
        <f>MATERIALES!C20</f>
        <v>0</v>
      </c>
      <c r="G291" s="669">
        <f>MATERIALES!D20*M291</f>
        <v>0</v>
      </c>
      <c r="H291" s="537">
        <f>MATERIALES!D20</f>
        <v>0</v>
      </c>
      <c r="I291" s="509">
        <f t="shared" si="17"/>
        <v>0</v>
      </c>
      <c r="J291" s="513">
        <f>MATERIALES!E20</f>
        <v>0</v>
      </c>
      <c r="L291" s="664">
        <v>1</v>
      </c>
      <c r="M291" s="665">
        <v>1</v>
      </c>
      <c r="N291" s="780"/>
      <c r="O291" s="955"/>
      <c r="P291" s="955"/>
      <c r="Q291" s="955"/>
      <c r="R291" s="955"/>
      <c r="S291" s="955"/>
      <c r="T291" s="955"/>
    </row>
    <row r="292" spans="1:20" x14ac:dyDescent="0.2">
      <c r="A292" s="725">
        <f>MATERIALES!B21</f>
        <v>0</v>
      </c>
      <c r="B292" s="700"/>
      <c r="C292" s="700"/>
      <c r="D292" s="700"/>
      <c r="E292" s="669">
        <f>MATERIALES!C21*L292</f>
        <v>0</v>
      </c>
      <c r="F292" s="537">
        <f>MATERIALES!C21</f>
        <v>0</v>
      </c>
      <c r="G292" s="669">
        <f>MATERIALES!D21*M292</f>
        <v>0</v>
      </c>
      <c r="H292" s="537">
        <f>MATERIALES!D21</f>
        <v>0</v>
      </c>
      <c r="I292" s="509">
        <f t="shared" si="17"/>
        <v>0</v>
      </c>
      <c r="J292" s="513">
        <f>MATERIALES!E21</f>
        <v>0</v>
      </c>
      <c r="L292" s="664">
        <v>1</v>
      </c>
      <c r="M292" s="665">
        <v>1</v>
      </c>
      <c r="N292" s="780"/>
      <c r="O292" s="955"/>
      <c r="P292" s="955"/>
      <c r="Q292" s="955"/>
      <c r="R292" s="955"/>
      <c r="S292" s="955"/>
      <c r="T292" s="955"/>
    </row>
    <row r="293" spans="1:20" x14ac:dyDescent="0.2">
      <c r="A293" s="725">
        <f>MATERIALES!B22</f>
        <v>0</v>
      </c>
      <c r="B293" s="700"/>
      <c r="C293" s="700"/>
      <c r="D293" s="700"/>
      <c r="E293" s="669">
        <f>MATERIALES!C22*L293</f>
        <v>0</v>
      </c>
      <c r="F293" s="537">
        <f>MATERIALES!C22</f>
        <v>0</v>
      </c>
      <c r="G293" s="669">
        <f>MATERIALES!D22*M293</f>
        <v>0</v>
      </c>
      <c r="H293" s="537">
        <f>MATERIALES!D22</f>
        <v>0</v>
      </c>
      <c r="I293" s="509">
        <f t="shared" si="17"/>
        <v>0</v>
      </c>
      <c r="J293" s="513">
        <f>MATERIALES!E22</f>
        <v>0</v>
      </c>
      <c r="L293" s="664">
        <v>1</v>
      </c>
      <c r="M293" s="665">
        <v>1</v>
      </c>
      <c r="N293" s="780"/>
      <c r="O293" s="955"/>
      <c r="P293" s="955"/>
      <c r="Q293" s="955"/>
      <c r="R293" s="955"/>
      <c r="S293" s="955"/>
      <c r="T293" s="955"/>
    </row>
    <row r="294" spans="1:20" x14ac:dyDescent="0.2">
      <c r="A294" s="725">
        <f>MATERIALES!B23</f>
        <v>0</v>
      </c>
      <c r="B294" s="700"/>
      <c r="C294" s="700"/>
      <c r="D294" s="700"/>
      <c r="E294" s="669">
        <f>MATERIALES!C23*L294</f>
        <v>0</v>
      </c>
      <c r="F294" s="537">
        <f>MATERIALES!C23</f>
        <v>0</v>
      </c>
      <c r="G294" s="669">
        <f>MATERIALES!D23*M294</f>
        <v>0</v>
      </c>
      <c r="H294" s="537">
        <f>MATERIALES!D23</f>
        <v>0</v>
      </c>
      <c r="I294" s="509">
        <f t="shared" si="17"/>
        <v>0</v>
      </c>
      <c r="J294" s="513">
        <f>MATERIALES!E23</f>
        <v>0</v>
      </c>
      <c r="L294" s="664">
        <v>1</v>
      </c>
      <c r="M294" s="665">
        <v>1</v>
      </c>
      <c r="N294" s="780"/>
      <c r="O294" s="955"/>
      <c r="P294" s="955"/>
      <c r="Q294" s="955"/>
      <c r="R294" s="955"/>
      <c r="S294" s="955"/>
      <c r="T294" s="955"/>
    </row>
    <row r="295" spans="1:20" x14ac:dyDescent="0.2">
      <c r="A295" s="725">
        <f>MATERIALES!B24</f>
        <v>0</v>
      </c>
      <c r="B295" s="700"/>
      <c r="C295" s="700"/>
      <c r="D295" s="700"/>
      <c r="E295" s="669">
        <f>MATERIALES!C24*L295</f>
        <v>0</v>
      </c>
      <c r="F295" s="537">
        <f>MATERIALES!C24</f>
        <v>0</v>
      </c>
      <c r="G295" s="669">
        <f>MATERIALES!D24*M295</f>
        <v>0</v>
      </c>
      <c r="H295" s="537">
        <f>MATERIALES!D24</f>
        <v>0</v>
      </c>
      <c r="I295" s="509">
        <f t="shared" si="17"/>
        <v>0</v>
      </c>
      <c r="J295" s="513">
        <f>MATERIALES!E24</f>
        <v>0</v>
      </c>
      <c r="L295" s="664">
        <v>1</v>
      </c>
      <c r="M295" s="665">
        <v>1</v>
      </c>
      <c r="N295" s="780"/>
      <c r="O295" s="955"/>
      <c r="P295" s="955"/>
      <c r="Q295" s="955"/>
      <c r="R295" s="955"/>
      <c r="S295" s="955"/>
      <c r="T295" s="955"/>
    </row>
    <row r="296" spans="1:20" x14ac:dyDescent="0.2">
      <c r="A296" s="725">
        <f>MATERIALES!B25</f>
        <v>0</v>
      </c>
      <c r="B296" s="700"/>
      <c r="C296" s="700"/>
      <c r="D296" s="700"/>
      <c r="E296" s="669">
        <f>MATERIALES!C25*L296</f>
        <v>0</v>
      </c>
      <c r="F296" s="537">
        <f>MATERIALES!C25</f>
        <v>0</v>
      </c>
      <c r="G296" s="669">
        <f>MATERIALES!D25*M296</f>
        <v>0</v>
      </c>
      <c r="H296" s="537">
        <f>MATERIALES!D25</f>
        <v>0</v>
      </c>
      <c r="I296" s="509">
        <f t="shared" si="17"/>
        <v>0</v>
      </c>
      <c r="J296" s="513">
        <f>MATERIALES!E25</f>
        <v>0</v>
      </c>
      <c r="L296" s="664">
        <v>1</v>
      </c>
      <c r="M296" s="665">
        <v>1</v>
      </c>
      <c r="N296" s="780"/>
      <c r="O296" s="955"/>
      <c r="P296" s="955"/>
      <c r="Q296" s="955"/>
      <c r="R296" s="955"/>
      <c r="S296" s="955"/>
      <c r="T296" s="955"/>
    </row>
    <row r="297" spans="1:20" x14ac:dyDescent="0.2">
      <c r="A297" s="725">
        <f>MATERIALES!B26</f>
        <v>0</v>
      </c>
      <c r="B297" s="700"/>
      <c r="C297" s="700"/>
      <c r="D297" s="700"/>
      <c r="E297" s="669">
        <f>MATERIALES!C26*L297</f>
        <v>0</v>
      </c>
      <c r="F297" s="537">
        <f>MATERIALES!C26</f>
        <v>0</v>
      </c>
      <c r="G297" s="669">
        <f>MATERIALES!D26*M297</f>
        <v>0</v>
      </c>
      <c r="H297" s="537">
        <f>MATERIALES!D26</f>
        <v>0</v>
      </c>
      <c r="I297" s="509">
        <f t="shared" si="17"/>
        <v>0</v>
      </c>
      <c r="J297" s="513">
        <f>MATERIALES!E26</f>
        <v>0</v>
      </c>
      <c r="L297" s="664">
        <v>1</v>
      </c>
      <c r="M297" s="665">
        <v>1</v>
      </c>
      <c r="N297" s="780"/>
      <c r="O297" s="955"/>
      <c r="P297" s="955"/>
      <c r="Q297" s="955"/>
      <c r="R297" s="955"/>
      <c r="S297" s="955"/>
      <c r="T297" s="955"/>
    </row>
    <row r="298" spans="1:20" x14ac:dyDescent="0.2">
      <c r="A298" s="725">
        <f>MATERIALES!B27</f>
        <v>0</v>
      </c>
      <c r="B298" s="700"/>
      <c r="C298" s="700"/>
      <c r="D298" s="700"/>
      <c r="E298" s="669">
        <f>MATERIALES!C27*L298</f>
        <v>0</v>
      </c>
      <c r="F298" s="537">
        <f>MATERIALES!C27</f>
        <v>0</v>
      </c>
      <c r="G298" s="669">
        <f>MATERIALES!D27*M298</f>
        <v>0</v>
      </c>
      <c r="H298" s="537">
        <f>MATERIALES!D27</f>
        <v>0</v>
      </c>
      <c r="I298" s="509">
        <f t="shared" si="17"/>
        <v>0</v>
      </c>
      <c r="J298" s="513">
        <f>MATERIALES!E27</f>
        <v>0</v>
      </c>
      <c r="L298" s="664">
        <v>1</v>
      </c>
      <c r="M298" s="665">
        <v>1</v>
      </c>
      <c r="N298" s="780"/>
      <c r="O298" s="955"/>
      <c r="P298" s="955"/>
      <c r="Q298" s="955"/>
      <c r="R298" s="955"/>
      <c r="S298" s="955"/>
      <c r="T298" s="955"/>
    </row>
    <row r="299" spans="1:20" x14ac:dyDescent="0.2">
      <c r="A299" s="725">
        <f>MATERIALES!B28</f>
        <v>0</v>
      </c>
      <c r="B299" s="700"/>
      <c r="C299" s="700"/>
      <c r="D299" s="700"/>
      <c r="E299" s="669">
        <f>MATERIALES!C28*L299</f>
        <v>0</v>
      </c>
      <c r="F299" s="537">
        <f>MATERIALES!C28</f>
        <v>0</v>
      </c>
      <c r="G299" s="669">
        <f>MATERIALES!D28*M299</f>
        <v>0</v>
      </c>
      <c r="H299" s="537">
        <f>MATERIALES!D28</f>
        <v>0</v>
      </c>
      <c r="I299" s="509">
        <f t="shared" si="17"/>
        <v>0</v>
      </c>
      <c r="J299" s="513">
        <f>MATERIALES!E28</f>
        <v>0</v>
      </c>
      <c r="L299" s="664">
        <v>1</v>
      </c>
      <c r="M299" s="665">
        <v>1</v>
      </c>
      <c r="N299" s="780"/>
      <c r="O299" s="955"/>
      <c r="P299" s="955"/>
      <c r="Q299" s="955"/>
      <c r="R299" s="955"/>
      <c r="S299" s="955"/>
      <c r="T299" s="955"/>
    </row>
    <row r="300" spans="1:20" x14ac:dyDescent="0.2">
      <c r="A300" s="725">
        <f>MATERIALES!B29</f>
        <v>0</v>
      </c>
      <c r="B300" s="700"/>
      <c r="C300" s="700"/>
      <c r="D300" s="700"/>
      <c r="E300" s="669">
        <f>MATERIALES!C29*L300</f>
        <v>0</v>
      </c>
      <c r="F300" s="537">
        <f>MATERIALES!C29</f>
        <v>0</v>
      </c>
      <c r="G300" s="669">
        <f>MATERIALES!D29*M300</f>
        <v>0</v>
      </c>
      <c r="H300" s="537">
        <f>MATERIALES!D29</f>
        <v>0</v>
      </c>
      <c r="I300" s="509">
        <f t="shared" si="17"/>
        <v>0</v>
      </c>
      <c r="J300" s="513">
        <f>MATERIALES!E29</f>
        <v>0</v>
      </c>
      <c r="L300" s="664">
        <v>1</v>
      </c>
      <c r="M300" s="665">
        <v>1</v>
      </c>
      <c r="N300" s="780"/>
      <c r="O300" s="955"/>
      <c r="P300" s="955"/>
      <c r="Q300" s="955"/>
      <c r="R300" s="955"/>
      <c r="S300" s="955"/>
      <c r="T300" s="955"/>
    </row>
    <row r="301" spans="1:20" x14ac:dyDescent="0.2">
      <c r="A301" s="725">
        <f>MATERIALES!B30</f>
        <v>0</v>
      </c>
      <c r="B301" s="700"/>
      <c r="C301" s="700"/>
      <c r="D301" s="700"/>
      <c r="E301" s="669">
        <f>MATERIALES!C30*L301</f>
        <v>0</v>
      </c>
      <c r="F301" s="537">
        <f>MATERIALES!C30</f>
        <v>0</v>
      </c>
      <c r="G301" s="669">
        <f>MATERIALES!D30*M301</f>
        <v>0</v>
      </c>
      <c r="H301" s="537">
        <f>MATERIALES!D30</f>
        <v>0</v>
      </c>
      <c r="I301" s="509">
        <f t="shared" si="17"/>
        <v>0</v>
      </c>
      <c r="J301" s="513">
        <f>MATERIALES!E30</f>
        <v>0</v>
      </c>
      <c r="L301" s="664">
        <v>1</v>
      </c>
      <c r="M301" s="665">
        <v>1</v>
      </c>
      <c r="N301" s="780"/>
      <c r="O301" s="955"/>
      <c r="P301" s="955"/>
      <c r="Q301" s="955"/>
      <c r="R301" s="955"/>
      <c r="S301" s="955"/>
      <c r="T301" s="955"/>
    </row>
    <row r="302" spans="1:20" ht="13.5" thickBot="1" x14ac:dyDescent="0.25">
      <c r="A302" s="820">
        <f>MATERIALES!B31</f>
        <v>0</v>
      </c>
      <c r="B302" s="821"/>
      <c r="C302" s="821"/>
      <c r="D302" s="821"/>
      <c r="E302" s="670">
        <f>MATERIALES!C31*L302</f>
        <v>0</v>
      </c>
      <c r="F302" s="538">
        <f>MATERIALES!C31</f>
        <v>0</v>
      </c>
      <c r="G302" s="670">
        <f>MATERIALES!D31*M302</f>
        <v>0</v>
      </c>
      <c r="H302" s="538">
        <f>MATERIALES!D31</f>
        <v>0</v>
      </c>
      <c r="I302" s="510">
        <f t="shared" si="17"/>
        <v>0</v>
      </c>
      <c r="J302" s="514">
        <f>MATERIALES!E31</f>
        <v>0</v>
      </c>
      <c r="L302" s="666">
        <v>1</v>
      </c>
      <c r="M302" s="667">
        <v>1</v>
      </c>
      <c r="N302" s="953"/>
      <c r="O302" s="954"/>
      <c r="P302" s="954"/>
      <c r="Q302" s="954"/>
      <c r="R302" s="954"/>
      <c r="S302" s="954"/>
      <c r="T302" s="954"/>
    </row>
    <row r="303" spans="1:20" ht="17.25" thickBot="1" x14ac:dyDescent="0.25">
      <c r="A303" s="822" t="s">
        <v>60</v>
      </c>
      <c r="B303" s="823"/>
      <c r="C303" s="823"/>
      <c r="D303" s="823"/>
      <c r="E303" s="511">
        <f>SUM(E277:E302)</f>
        <v>0</v>
      </c>
      <c r="F303" s="491">
        <f>SUM(F277:F302)</f>
        <v>0</v>
      </c>
      <c r="G303" s="485">
        <f>SUM(G277:G302)</f>
        <v>0</v>
      </c>
      <c r="H303" s="491">
        <f>SUM(H277:H302)</f>
        <v>0</v>
      </c>
      <c r="I303" s="485">
        <f>E303+G303</f>
        <v>0</v>
      </c>
      <c r="J303" s="512">
        <f>MATERIALES!E32</f>
        <v>0</v>
      </c>
    </row>
    <row r="305" spans="1:20" x14ac:dyDescent="0.2">
      <c r="A305" s="427"/>
      <c r="B305" s="428" t="s">
        <v>528</v>
      </c>
      <c r="C305" s="427"/>
      <c r="D305" s="427"/>
      <c r="E305" s="427"/>
      <c r="F305" s="427"/>
      <c r="G305" s="427"/>
      <c r="H305" s="427"/>
      <c r="I305" s="426"/>
      <c r="J305" s="426"/>
      <c r="K305" s="426"/>
      <c r="L305" s="426"/>
      <c r="M305" s="426"/>
      <c r="N305" s="426"/>
      <c r="O305" s="426"/>
      <c r="P305" s="426"/>
      <c r="Q305" s="426"/>
      <c r="R305" s="426"/>
      <c r="S305" s="426"/>
      <c r="T305" s="426"/>
    </row>
    <row r="306" spans="1:20" s="461" customFormat="1" x14ac:dyDescent="0.2">
      <c r="A306" s="459"/>
      <c r="B306" s="459"/>
      <c r="C306" s="459"/>
      <c r="D306" s="459"/>
      <c r="E306" s="459"/>
      <c r="F306" s="459"/>
      <c r="G306" s="459"/>
      <c r="H306" s="459"/>
      <c r="I306" s="460"/>
      <c r="J306" s="459"/>
      <c r="K306" s="459"/>
      <c r="L306" s="460"/>
    </row>
    <row r="307" spans="1:20" s="461" customFormat="1" x14ac:dyDescent="0.2">
      <c r="A307" s="462" t="s">
        <v>549</v>
      </c>
      <c r="B307" s="463"/>
      <c r="C307" s="463"/>
      <c r="D307" s="463"/>
      <c r="E307" s="465"/>
      <c r="F307" s="465"/>
      <c r="G307" s="465"/>
      <c r="H307" s="464" t="s">
        <v>559</v>
      </c>
      <c r="I307" s="466"/>
      <c r="J307" s="465"/>
      <c r="K307" s="465"/>
      <c r="L307" s="466"/>
      <c r="M307" s="466"/>
      <c r="N307" s="466"/>
      <c r="O307" s="466"/>
    </row>
    <row r="308" spans="1:20" s="461" customFormat="1" x14ac:dyDescent="0.2">
      <c r="A308" s="464" t="s">
        <v>550</v>
      </c>
      <c r="B308" s="465"/>
      <c r="C308" s="465"/>
      <c r="D308" s="465"/>
      <c r="E308" s="465"/>
      <c r="F308" s="465"/>
      <c r="G308" s="465"/>
      <c r="H308" s="465"/>
      <c r="I308" s="466"/>
      <c r="J308" s="465"/>
      <c r="K308" s="465"/>
      <c r="L308" s="466"/>
      <c r="M308" s="466"/>
      <c r="N308" s="466"/>
      <c r="O308" s="466"/>
    </row>
    <row r="309" spans="1:20" s="461" customFormat="1" ht="13.5" thickBot="1" x14ac:dyDescent="0.25">
      <c r="A309" s="464"/>
      <c r="B309" s="465"/>
      <c r="C309" s="465"/>
      <c r="D309" s="465"/>
      <c r="E309" s="465"/>
      <c r="F309" s="467" t="s">
        <v>551</v>
      </c>
      <c r="G309" s="465"/>
      <c r="H309" s="465"/>
      <c r="I309" s="466"/>
      <c r="J309" s="465"/>
      <c r="K309" s="465"/>
      <c r="L309" s="466"/>
      <c r="M309" s="466"/>
      <c r="N309" s="466"/>
      <c r="O309" s="466"/>
    </row>
    <row r="310" spans="1:20" s="461" customFormat="1" x14ac:dyDescent="0.2">
      <c r="A310" s="713"/>
      <c r="B310" s="714"/>
      <c r="C310" s="714"/>
      <c r="D310" s="714"/>
      <c r="E310" s="714"/>
      <c r="F310" s="714"/>
      <c r="G310" s="714"/>
      <c r="H310" s="714"/>
      <c r="I310" s="714"/>
      <c r="J310" s="714"/>
      <c r="K310" s="714"/>
      <c r="L310" s="714"/>
      <c r="M310" s="714"/>
      <c r="N310" s="714"/>
      <c r="O310" s="715"/>
    </row>
    <row r="311" spans="1:20" s="461" customFormat="1" x14ac:dyDescent="0.2">
      <c r="A311" s="716"/>
      <c r="B311" s="717"/>
      <c r="C311" s="717"/>
      <c r="D311" s="717"/>
      <c r="E311" s="717"/>
      <c r="F311" s="717"/>
      <c r="G311" s="717"/>
      <c r="H311" s="717"/>
      <c r="I311" s="717"/>
      <c r="J311" s="717"/>
      <c r="K311" s="717"/>
      <c r="L311" s="717"/>
      <c r="M311" s="717"/>
      <c r="N311" s="717"/>
      <c r="O311" s="718"/>
    </row>
    <row r="312" spans="1:20" s="461" customFormat="1" x14ac:dyDescent="0.2">
      <c r="A312" s="716"/>
      <c r="B312" s="717"/>
      <c r="C312" s="717"/>
      <c r="D312" s="717"/>
      <c r="E312" s="717"/>
      <c r="F312" s="717"/>
      <c r="G312" s="717"/>
      <c r="H312" s="717"/>
      <c r="I312" s="717"/>
      <c r="J312" s="717"/>
      <c r="K312" s="717"/>
      <c r="L312" s="717"/>
      <c r="M312" s="717"/>
      <c r="N312" s="717"/>
      <c r="O312" s="718"/>
    </row>
    <row r="313" spans="1:20" s="461" customFormat="1" x14ac:dyDescent="0.2">
      <c r="A313" s="716"/>
      <c r="B313" s="717"/>
      <c r="C313" s="717"/>
      <c r="D313" s="717"/>
      <c r="E313" s="717"/>
      <c r="F313" s="717"/>
      <c r="G313" s="717"/>
      <c r="H313" s="717"/>
      <c r="I313" s="717"/>
      <c r="J313" s="717"/>
      <c r="K313" s="717"/>
      <c r="L313" s="717"/>
      <c r="M313" s="717"/>
      <c r="N313" s="717"/>
      <c r="O313" s="718"/>
    </row>
    <row r="314" spans="1:20" s="461" customFormat="1" x14ac:dyDescent="0.2">
      <c r="A314" s="716"/>
      <c r="B314" s="717"/>
      <c r="C314" s="717"/>
      <c r="D314" s="717"/>
      <c r="E314" s="717"/>
      <c r="F314" s="717"/>
      <c r="G314" s="717"/>
      <c r="H314" s="717"/>
      <c r="I314" s="717"/>
      <c r="J314" s="717"/>
      <c r="K314" s="717"/>
      <c r="L314" s="717"/>
      <c r="M314" s="717"/>
      <c r="N314" s="717"/>
      <c r="O314" s="718"/>
    </row>
    <row r="315" spans="1:20" s="461" customFormat="1" x14ac:dyDescent="0.2">
      <c r="A315" s="716"/>
      <c r="B315" s="717"/>
      <c r="C315" s="717"/>
      <c r="D315" s="717"/>
      <c r="E315" s="717"/>
      <c r="F315" s="717"/>
      <c r="G315" s="717"/>
      <c r="H315" s="717"/>
      <c r="I315" s="717"/>
      <c r="J315" s="717"/>
      <c r="K315" s="717"/>
      <c r="L315" s="717"/>
      <c r="M315" s="717"/>
      <c r="N315" s="717"/>
      <c r="O315" s="718"/>
    </row>
    <row r="316" spans="1:20" s="461" customFormat="1" x14ac:dyDescent="0.2">
      <c r="A316" s="716"/>
      <c r="B316" s="717"/>
      <c r="C316" s="717"/>
      <c r="D316" s="717"/>
      <c r="E316" s="717"/>
      <c r="F316" s="717"/>
      <c r="G316" s="717"/>
      <c r="H316" s="717"/>
      <c r="I316" s="717"/>
      <c r="J316" s="717"/>
      <c r="K316" s="717"/>
      <c r="L316" s="717"/>
      <c r="M316" s="717"/>
      <c r="N316" s="717"/>
      <c r="O316" s="718"/>
    </row>
    <row r="317" spans="1:20" s="461" customFormat="1" x14ac:dyDescent="0.2">
      <c r="A317" s="716"/>
      <c r="B317" s="717"/>
      <c r="C317" s="717"/>
      <c r="D317" s="717"/>
      <c r="E317" s="717"/>
      <c r="F317" s="717"/>
      <c r="G317" s="717"/>
      <c r="H317" s="717"/>
      <c r="I317" s="717"/>
      <c r="J317" s="717"/>
      <c r="K317" s="717"/>
      <c r="L317" s="717"/>
      <c r="M317" s="717"/>
      <c r="N317" s="717"/>
      <c r="O317" s="718"/>
    </row>
    <row r="318" spans="1:20" s="461" customFormat="1" x14ac:dyDescent="0.2">
      <c r="A318" s="716"/>
      <c r="B318" s="717"/>
      <c r="C318" s="717"/>
      <c r="D318" s="717"/>
      <c r="E318" s="717"/>
      <c r="F318" s="717"/>
      <c r="G318" s="717"/>
      <c r="H318" s="717"/>
      <c r="I318" s="717"/>
      <c r="J318" s="717"/>
      <c r="K318" s="717"/>
      <c r="L318" s="717"/>
      <c r="M318" s="717"/>
      <c r="N318" s="717"/>
      <c r="O318" s="718"/>
    </row>
    <row r="319" spans="1:20" s="461" customFormat="1" ht="13.5" thickBot="1" x14ac:dyDescent="0.25">
      <c r="A319" s="719"/>
      <c r="B319" s="720"/>
      <c r="C319" s="720"/>
      <c r="D319" s="720"/>
      <c r="E319" s="720"/>
      <c r="F319" s="720"/>
      <c r="G319" s="720"/>
      <c r="H319" s="720"/>
      <c r="I319" s="720"/>
      <c r="J319" s="720"/>
      <c r="K319" s="720"/>
      <c r="L319" s="720"/>
      <c r="M319" s="720"/>
      <c r="N319" s="720"/>
      <c r="O319" s="721"/>
    </row>
    <row r="320" spans="1:20" ht="13.5" thickBot="1" x14ac:dyDescent="0.25"/>
    <row r="321" spans="1:22" ht="71.25" customHeight="1" thickBot="1" x14ac:dyDescent="0.25">
      <c r="A321" s="793" t="str">
        <f>COLABORACIONES!B3</f>
        <v>Empresas, Universidades, Centros Tecnológicos (CT) o infraestructuras científico tecnológicas singulares (ICTS) que colaboran</v>
      </c>
      <c r="B321" s="762"/>
      <c r="C321" s="762"/>
      <c r="D321" s="762"/>
      <c r="E321" s="762" t="s">
        <v>119</v>
      </c>
      <c r="F321" s="770" t="s">
        <v>128</v>
      </c>
      <c r="G321" s="726" t="s">
        <v>557</v>
      </c>
      <c r="H321" s="727"/>
      <c r="I321" s="727" t="s">
        <v>558</v>
      </c>
      <c r="J321" s="727"/>
      <c r="K321" s="951" t="s">
        <v>60</v>
      </c>
      <c r="L321" s="952"/>
      <c r="N321" s="850" t="s">
        <v>552</v>
      </c>
      <c r="O321" s="851"/>
    </row>
    <row r="322" spans="1:22" ht="13.5" customHeight="1" thickBot="1" x14ac:dyDescent="0.25">
      <c r="A322" s="855"/>
      <c r="B322" s="763"/>
      <c r="C322" s="763"/>
      <c r="D322" s="763"/>
      <c r="E322" s="763"/>
      <c r="F322" s="771"/>
      <c r="G322" s="516" t="s">
        <v>554</v>
      </c>
      <c r="H322" s="532" t="s">
        <v>553</v>
      </c>
      <c r="I322" s="502" t="s">
        <v>554</v>
      </c>
      <c r="J322" s="532" t="s">
        <v>553</v>
      </c>
      <c r="K322" s="502" t="s">
        <v>554</v>
      </c>
      <c r="L322" s="533" t="s">
        <v>553</v>
      </c>
      <c r="N322" s="239" t="s">
        <v>11</v>
      </c>
      <c r="O322" s="574" t="s">
        <v>12</v>
      </c>
      <c r="P322" s="999" t="s">
        <v>624</v>
      </c>
      <c r="Q322" s="999"/>
      <c r="R322" s="999"/>
      <c r="S322" s="999"/>
      <c r="T322" s="999"/>
      <c r="U322" s="999"/>
      <c r="V322" s="999"/>
    </row>
    <row r="323" spans="1:22" x14ac:dyDescent="0.2">
      <c r="A323" s="818">
        <f>COLABORACIONES!B4</f>
        <v>0</v>
      </c>
      <c r="B323" s="819"/>
      <c r="C323" s="819"/>
      <c r="D323" s="819"/>
      <c r="E323" s="648">
        <f>COLABORACIONES!C4</f>
        <v>0</v>
      </c>
      <c r="F323" s="671">
        <f>COLABORACIONES!D4</f>
        <v>0</v>
      </c>
      <c r="G323" s="672">
        <f>COLABORACIONES!E4*N323</f>
        <v>0</v>
      </c>
      <c r="H323" s="522">
        <f>COLABORACIONES!E4</f>
        <v>0</v>
      </c>
      <c r="I323" s="669">
        <f>COLABORACIONES!F4*O323</f>
        <v>0</v>
      </c>
      <c r="J323" s="522">
        <f>COLABORACIONES!F4</f>
        <v>0</v>
      </c>
      <c r="K323" s="526">
        <f>SUM(G323:I323)</f>
        <v>0</v>
      </c>
      <c r="L323" s="523">
        <f>COLABORACIONES!G4</f>
        <v>0</v>
      </c>
      <c r="N323" s="662">
        <v>1</v>
      </c>
      <c r="O323" s="663">
        <v>1</v>
      </c>
      <c r="P323" s="780"/>
      <c r="Q323" s="955"/>
      <c r="R323" s="955"/>
      <c r="S323" s="955"/>
      <c r="T323" s="955"/>
      <c r="U323" s="955"/>
      <c r="V323" s="955"/>
    </row>
    <row r="324" spans="1:22" x14ac:dyDescent="0.2">
      <c r="A324" s="725">
        <f>COLABORACIONES!B5</f>
        <v>0</v>
      </c>
      <c r="B324" s="700"/>
      <c r="C324" s="700"/>
      <c r="D324" s="700"/>
      <c r="E324" s="639">
        <f>COLABORACIONES!C5</f>
        <v>0</v>
      </c>
      <c r="F324" s="673">
        <f>COLABORACIONES!D5</f>
        <v>0</v>
      </c>
      <c r="G324" s="672">
        <f>COLABORACIONES!E5*N324</f>
        <v>0</v>
      </c>
      <c r="H324" s="522">
        <f>COLABORACIONES!E5</f>
        <v>0</v>
      </c>
      <c r="I324" s="669">
        <f>COLABORACIONES!F5*O324</f>
        <v>0</v>
      </c>
      <c r="J324" s="522">
        <f>COLABORACIONES!F5</f>
        <v>0</v>
      </c>
      <c r="K324" s="526">
        <f t="shared" ref="K324:K330" si="18">SUM(G324:I324)</f>
        <v>0</v>
      </c>
      <c r="L324" s="523">
        <f>COLABORACIONES!G5</f>
        <v>0</v>
      </c>
      <c r="N324" s="664">
        <v>1</v>
      </c>
      <c r="O324" s="665">
        <v>1</v>
      </c>
      <c r="P324" s="780"/>
      <c r="Q324" s="955"/>
      <c r="R324" s="955"/>
      <c r="S324" s="955"/>
      <c r="T324" s="955"/>
      <c r="U324" s="955"/>
      <c r="V324" s="955"/>
    </row>
    <row r="325" spans="1:22" x14ac:dyDescent="0.2">
      <c r="A325" s="725">
        <f>COLABORACIONES!B6</f>
        <v>0</v>
      </c>
      <c r="B325" s="700"/>
      <c r="C325" s="700"/>
      <c r="D325" s="700"/>
      <c r="E325" s="639">
        <f>COLABORACIONES!C6</f>
        <v>0</v>
      </c>
      <c r="F325" s="673">
        <f>COLABORACIONES!D6</f>
        <v>0</v>
      </c>
      <c r="G325" s="672">
        <f>COLABORACIONES!E6*N325</f>
        <v>0</v>
      </c>
      <c r="H325" s="522">
        <f>COLABORACIONES!E6</f>
        <v>0</v>
      </c>
      <c r="I325" s="669">
        <f>COLABORACIONES!F6*O325</f>
        <v>0</v>
      </c>
      <c r="J325" s="522">
        <f>COLABORACIONES!F6</f>
        <v>0</v>
      </c>
      <c r="K325" s="526">
        <f t="shared" si="18"/>
        <v>0</v>
      </c>
      <c r="L325" s="523">
        <f>COLABORACIONES!G6</f>
        <v>0</v>
      </c>
      <c r="N325" s="664">
        <v>1</v>
      </c>
      <c r="O325" s="665">
        <v>1</v>
      </c>
      <c r="P325" s="780"/>
      <c r="Q325" s="955"/>
      <c r="R325" s="955"/>
      <c r="S325" s="955"/>
      <c r="T325" s="955"/>
      <c r="U325" s="955"/>
      <c r="V325" s="955"/>
    </row>
    <row r="326" spans="1:22" x14ac:dyDescent="0.2">
      <c r="A326" s="725">
        <f>COLABORACIONES!B7</f>
        <v>0</v>
      </c>
      <c r="B326" s="700"/>
      <c r="C326" s="700"/>
      <c r="D326" s="700"/>
      <c r="E326" s="639">
        <f>COLABORACIONES!C7</f>
        <v>0</v>
      </c>
      <c r="F326" s="673">
        <f>COLABORACIONES!D7</f>
        <v>0</v>
      </c>
      <c r="G326" s="672">
        <f>COLABORACIONES!E7*N326</f>
        <v>0</v>
      </c>
      <c r="H326" s="522">
        <f>COLABORACIONES!E7</f>
        <v>0</v>
      </c>
      <c r="I326" s="669">
        <f>COLABORACIONES!F7*O326</f>
        <v>0</v>
      </c>
      <c r="J326" s="522">
        <f>COLABORACIONES!F7</f>
        <v>0</v>
      </c>
      <c r="K326" s="526">
        <f t="shared" si="18"/>
        <v>0</v>
      </c>
      <c r="L326" s="523">
        <f>COLABORACIONES!G7</f>
        <v>0</v>
      </c>
      <c r="N326" s="664">
        <v>1</v>
      </c>
      <c r="O326" s="665">
        <v>1</v>
      </c>
      <c r="P326" s="780"/>
      <c r="Q326" s="955"/>
      <c r="R326" s="955"/>
      <c r="S326" s="955"/>
      <c r="T326" s="955"/>
      <c r="U326" s="955"/>
      <c r="V326" s="955"/>
    </row>
    <row r="327" spans="1:22" x14ac:dyDescent="0.2">
      <c r="A327" s="725">
        <f>COLABORACIONES!B8</f>
        <v>0</v>
      </c>
      <c r="B327" s="700"/>
      <c r="C327" s="700"/>
      <c r="D327" s="700"/>
      <c r="E327" s="639">
        <f>COLABORACIONES!C8</f>
        <v>0</v>
      </c>
      <c r="F327" s="673">
        <f>COLABORACIONES!D8</f>
        <v>0</v>
      </c>
      <c r="G327" s="672">
        <f>COLABORACIONES!E8*N327</f>
        <v>0</v>
      </c>
      <c r="H327" s="522">
        <f>COLABORACIONES!E8</f>
        <v>0</v>
      </c>
      <c r="I327" s="669">
        <f>COLABORACIONES!F8*O327</f>
        <v>0</v>
      </c>
      <c r="J327" s="522">
        <f>COLABORACIONES!F8</f>
        <v>0</v>
      </c>
      <c r="K327" s="526">
        <f t="shared" si="18"/>
        <v>0</v>
      </c>
      <c r="L327" s="523">
        <f>COLABORACIONES!G8</f>
        <v>0</v>
      </c>
      <c r="N327" s="664">
        <v>1</v>
      </c>
      <c r="O327" s="665">
        <v>1</v>
      </c>
      <c r="P327" s="780"/>
      <c r="Q327" s="955"/>
      <c r="R327" s="955"/>
      <c r="S327" s="955"/>
      <c r="T327" s="955"/>
      <c r="U327" s="955"/>
      <c r="V327" s="955"/>
    </row>
    <row r="328" spans="1:22" x14ac:dyDescent="0.2">
      <c r="A328" s="725">
        <f>COLABORACIONES!B9</f>
        <v>0</v>
      </c>
      <c r="B328" s="700"/>
      <c r="C328" s="700"/>
      <c r="D328" s="700"/>
      <c r="E328" s="639">
        <f>COLABORACIONES!C9</f>
        <v>0</v>
      </c>
      <c r="F328" s="673">
        <f>COLABORACIONES!D9</f>
        <v>0</v>
      </c>
      <c r="G328" s="672">
        <f>COLABORACIONES!E9*N328</f>
        <v>0</v>
      </c>
      <c r="H328" s="522">
        <f>COLABORACIONES!E9</f>
        <v>0</v>
      </c>
      <c r="I328" s="669">
        <f>COLABORACIONES!F9*O328</f>
        <v>0</v>
      </c>
      <c r="J328" s="522">
        <f>COLABORACIONES!F9</f>
        <v>0</v>
      </c>
      <c r="K328" s="526">
        <f t="shared" si="18"/>
        <v>0</v>
      </c>
      <c r="L328" s="523">
        <f>COLABORACIONES!G9</f>
        <v>0</v>
      </c>
      <c r="N328" s="664">
        <v>1</v>
      </c>
      <c r="O328" s="665">
        <v>1</v>
      </c>
      <c r="P328" s="780"/>
      <c r="Q328" s="955"/>
      <c r="R328" s="955"/>
      <c r="S328" s="955"/>
      <c r="T328" s="955"/>
      <c r="U328" s="955"/>
      <c r="V328" s="955"/>
    </row>
    <row r="329" spans="1:22" x14ac:dyDescent="0.2">
      <c r="A329" s="725">
        <f>COLABORACIONES!B10</f>
        <v>0</v>
      </c>
      <c r="B329" s="700"/>
      <c r="C329" s="700"/>
      <c r="D329" s="700"/>
      <c r="E329" s="639">
        <f>COLABORACIONES!C10</f>
        <v>0</v>
      </c>
      <c r="F329" s="673">
        <f>COLABORACIONES!D10</f>
        <v>0</v>
      </c>
      <c r="G329" s="672">
        <f>COLABORACIONES!E10*N329</f>
        <v>0</v>
      </c>
      <c r="H329" s="522">
        <f>COLABORACIONES!E10</f>
        <v>0</v>
      </c>
      <c r="I329" s="669">
        <f>COLABORACIONES!F10*O329</f>
        <v>0</v>
      </c>
      <c r="J329" s="522">
        <f>COLABORACIONES!F10</f>
        <v>0</v>
      </c>
      <c r="K329" s="526">
        <f t="shared" si="18"/>
        <v>0</v>
      </c>
      <c r="L329" s="523">
        <f>COLABORACIONES!G10</f>
        <v>0</v>
      </c>
      <c r="N329" s="664">
        <v>1</v>
      </c>
      <c r="O329" s="665">
        <v>1</v>
      </c>
      <c r="P329" s="780"/>
      <c r="Q329" s="955"/>
      <c r="R329" s="955"/>
      <c r="S329" s="955"/>
      <c r="T329" s="955"/>
      <c r="U329" s="955"/>
      <c r="V329" s="955"/>
    </row>
    <row r="330" spans="1:22" x14ac:dyDescent="0.2">
      <c r="A330" s="725">
        <f>COLABORACIONES!B11</f>
        <v>0</v>
      </c>
      <c r="B330" s="700"/>
      <c r="C330" s="700"/>
      <c r="D330" s="700"/>
      <c r="E330" s="639">
        <f>COLABORACIONES!C11</f>
        <v>0</v>
      </c>
      <c r="F330" s="673">
        <f>COLABORACIONES!D11</f>
        <v>0</v>
      </c>
      <c r="G330" s="672">
        <f>COLABORACIONES!E11*N330</f>
        <v>0</v>
      </c>
      <c r="H330" s="522">
        <f>COLABORACIONES!E11</f>
        <v>0</v>
      </c>
      <c r="I330" s="669">
        <f>COLABORACIONES!F11*O330</f>
        <v>0</v>
      </c>
      <c r="J330" s="522">
        <f>COLABORACIONES!F11</f>
        <v>0</v>
      </c>
      <c r="K330" s="526">
        <f t="shared" si="18"/>
        <v>0</v>
      </c>
      <c r="L330" s="523">
        <f>COLABORACIONES!G11</f>
        <v>0</v>
      </c>
      <c r="N330" s="664">
        <v>1</v>
      </c>
      <c r="O330" s="665">
        <v>1</v>
      </c>
      <c r="P330" s="780"/>
      <c r="Q330" s="955"/>
      <c r="R330" s="955"/>
      <c r="S330" s="955"/>
      <c r="T330" s="955"/>
      <c r="U330" s="955"/>
      <c r="V330" s="955"/>
    </row>
    <row r="331" spans="1:22" x14ac:dyDescent="0.2">
      <c r="A331" s="725">
        <f>COLABORACIONES!B12</f>
        <v>0</v>
      </c>
      <c r="B331" s="700"/>
      <c r="C331" s="700"/>
      <c r="D331" s="700"/>
      <c r="E331" s="639">
        <f>COLABORACIONES!C12</f>
        <v>0</v>
      </c>
      <c r="F331" s="673">
        <f>COLABORACIONES!D12</f>
        <v>0</v>
      </c>
      <c r="G331" s="672">
        <f>COLABORACIONES!E12*N331</f>
        <v>0</v>
      </c>
      <c r="H331" s="522">
        <f>COLABORACIONES!E12</f>
        <v>0</v>
      </c>
      <c r="I331" s="669">
        <f>COLABORACIONES!F12*O331</f>
        <v>0</v>
      </c>
      <c r="J331" s="522">
        <f>COLABORACIONES!F12</f>
        <v>0</v>
      </c>
      <c r="K331" s="526">
        <f t="shared" ref="K331:K352" si="19">SUM(G331:I331)</f>
        <v>0</v>
      </c>
      <c r="L331" s="523">
        <f>COLABORACIONES!G12</f>
        <v>0</v>
      </c>
      <c r="N331" s="664">
        <v>1</v>
      </c>
      <c r="O331" s="665">
        <v>1</v>
      </c>
      <c r="P331" s="780"/>
      <c r="Q331" s="955"/>
      <c r="R331" s="955"/>
      <c r="S331" s="955"/>
      <c r="T331" s="955"/>
      <c r="U331" s="955"/>
      <c r="V331" s="955"/>
    </row>
    <row r="332" spans="1:22" x14ac:dyDescent="0.2">
      <c r="A332" s="725">
        <f>COLABORACIONES!B13</f>
        <v>0</v>
      </c>
      <c r="B332" s="700"/>
      <c r="C332" s="700"/>
      <c r="D332" s="700"/>
      <c r="E332" s="639">
        <f>COLABORACIONES!C13</f>
        <v>0</v>
      </c>
      <c r="F332" s="673">
        <f>COLABORACIONES!D13</f>
        <v>0</v>
      </c>
      <c r="G332" s="672">
        <f>COLABORACIONES!E13*N332</f>
        <v>0</v>
      </c>
      <c r="H332" s="522">
        <f>COLABORACIONES!E13</f>
        <v>0</v>
      </c>
      <c r="I332" s="669">
        <f>COLABORACIONES!F13*O332</f>
        <v>0</v>
      </c>
      <c r="J332" s="522">
        <f>COLABORACIONES!F13</f>
        <v>0</v>
      </c>
      <c r="K332" s="526">
        <f t="shared" si="19"/>
        <v>0</v>
      </c>
      <c r="L332" s="523">
        <f>COLABORACIONES!G13</f>
        <v>0</v>
      </c>
      <c r="N332" s="664">
        <v>1</v>
      </c>
      <c r="O332" s="665">
        <v>1</v>
      </c>
      <c r="P332" s="780"/>
      <c r="Q332" s="955"/>
      <c r="R332" s="955"/>
      <c r="S332" s="955"/>
      <c r="T332" s="955"/>
      <c r="U332" s="955"/>
      <c r="V332" s="955"/>
    </row>
    <row r="333" spans="1:22" x14ac:dyDescent="0.2">
      <c r="A333" s="725">
        <f>COLABORACIONES!B14</f>
        <v>0</v>
      </c>
      <c r="B333" s="700"/>
      <c r="C333" s="700"/>
      <c r="D333" s="700"/>
      <c r="E333" s="639">
        <f>COLABORACIONES!C14</f>
        <v>0</v>
      </c>
      <c r="F333" s="673">
        <f>COLABORACIONES!D14</f>
        <v>0</v>
      </c>
      <c r="G333" s="672">
        <f>COLABORACIONES!E14*N333</f>
        <v>0</v>
      </c>
      <c r="H333" s="522">
        <f>COLABORACIONES!E14</f>
        <v>0</v>
      </c>
      <c r="I333" s="669">
        <f>COLABORACIONES!F14*O333</f>
        <v>0</v>
      </c>
      <c r="J333" s="522">
        <f>COLABORACIONES!F14</f>
        <v>0</v>
      </c>
      <c r="K333" s="526">
        <f t="shared" si="19"/>
        <v>0</v>
      </c>
      <c r="L333" s="523">
        <f>COLABORACIONES!G14</f>
        <v>0</v>
      </c>
      <c r="N333" s="664">
        <v>1</v>
      </c>
      <c r="O333" s="665">
        <v>1</v>
      </c>
      <c r="P333" s="780"/>
      <c r="Q333" s="955"/>
      <c r="R333" s="955"/>
      <c r="S333" s="955"/>
      <c r="T333" s="955"/>
      <c r="U333" s="955"/>
      <c r="V333" s="955"/>
    </row>
    <row r="334" spans="1:22" x14ac:dyDescent="0.2">
      <c r="A334" s="725">
        <f>COLABORACIONES!B15</f>
        <v>0</v>
      </c>
      <c r="B334" s="700"/>
      <c r="C334" s="700"/>
      <c r="D334" s="700"/>
      <c r="E334" s="639">
        <f>COLABORACIONES!C15</f>
        <v>0</v>
      </c>
      <c r="F334" s="673">
        <f>COLABORACIONES!D15</f>
        <v>0</v>
      </c>
      <c r="G334" s="672">
        <f>COLABORACIONES!E15*N334</f>
        <v>0</v>
      </c>
      <c r="H334" s="522">
        <f>COLABORACIONES!E15</f>
        <v>0</v>
      </c>
      <c r="I334" s="669">
        <f>COLABORACIONES!F15*O334</f>
        <v>0</v>
      </c>
      <c r="J334" s="522">
        <f>COLABORACIONES!F15</f>
        <v>0</v>
      </c>
      <c r="K334" s="526">
        <f t="shared" si="19"/>
        <v>0</v>
      </c>
      <c r="L334" s="523">
        <f>COLABORACIONES!G15</f>
        <v>0</v>
      </c>
      <c r="N334" s="664">
        <v>1</v>
      </c>
      <c r="O334" s="665">
        <v>1</v>
      </c>
      <c r="P334" s="780"/>
      <c r="Q334" s="955"/>
      <c r="R334" s="955"/>
      <c r="S334" s="955"/>
      <c r="T334" s="955"/>
      <c r="U334" s="955"/>
      <c r="V334" s="955"/>
    </row>
    <row r="335" spans="1:22" x14ac:dyDescent="0.2">
      <c r="A335" s="725">
        <f>COLABORACIONES!B16</f>
        <v>0</v>
      </c>
      <c r="B335" s="700"/>
      <c r="C335" s="700"/>
      <c r="D335" s="700"/>
      <c r="E335" s="639">
        <f>COLABORACIONES!C16</f>
        <v>0</v>
      </c>
      <c r="F335" s="673">
        <f>COLABORACIONES!D16</f>
        <v>0</v>
      </c>
      <c r="G335" s="672">
        <f>COLABORACIONES!E16*N335</f>
        <v>0</v>
      </c>
      <c r="H335" s="522">
        <f>COLABORACIONES!E16</f>
        <v>0</v>
      </c>
      <c r="I335" s="669">
        <f>COLABORACIONES!F16*O335</f>
        <v>0</v>
      </c>
      <c r="J335" s="522">
        <f>COLABORACIONES!F16</f>
        <v>0</v>
      </c>
      <c r="K335" s="526">
        <f t="shared" si="19"/>
        <v>0</v>
      </c>
      <c r="L335" s="523">
        <f>COLABORACIONES!G16</f>
        <v>0</v>
      </c>
      <c r="N335" s="664">
        <v>1</v>
      </c>
      <c r="O335" s="665">
        <v>1</v>
      </c>
      <c r="P335" s="780"/>
      <c r="Q335" s="955"/>
      <c r="R335" s="955"/>
      <c r="S335" s="955"/>
      <c r="T335" s="955"/>
      <c r="U335" s="955"/>
      <c r="V335" s="955"/>
    </row>
    <row r="336" spans="1:22" x14ac:dyDescent="0.2">
      <c r="A336" s="725">
        <f>COLABORACIONES!B17</f>
        <v>0</v>
      </c>
      <c r="B336" s="700"/>
      <c r="C336" s="700"/>
      <c r="D336" s="700"/>
      <c r="E336" s="639">
        <f>COLABORACIONES!C17</f>
        <v>0</v>
      </c>
      <c r="F336" s="673">
        <f>COLABORACIONES!D17</f>
        <v>0</v>
      </c>
      <c r="G336" s="672">
        <f>COLABORACIONES!E17*N336</f>
        <v>0</v>
      </c>
      <c r="H336" s="522">
        <f>COLABORACIONES!E17</f>
        <v>0</v>
      </c>
      <c r="I336" s="669">
        <f>COLABORACIONES!F17*O336</f>
        <v>0</v>
      </c>
      <c r="J336" s="522">
        <f>COLABORACIONES!F17</f>
        <v>0</v>
      </c>
      <c r="K336" s="526">
        <f t="shared" si="19"/>
        <v>0</v>
      </c>
      <c r="L336" s="523">
        <f>COLABORACIONES!G17</f>
        <v>0</v>
      </c>
      <c r="N336" s="664">
        <v>1</v>
      </c>
      <c r="O336" s="665">
        <v>1</v>
      </c>
      <c r="P336" s="780"/>
      <c r="Q336" s="955"/>
      <c r="R336" s="955"/>
      <c r="S336" s="955"/>
      <c r="T336" s="955"/>
      <c r="U336" s="955"/>
      <c r="V336" s="955"/>
    </row>
    <row r="337" spans="1:22" x14ac:dyDescent="0.2">
      <c r="A337" s="725">
        <f>COLABORACIONES!B18</f>
        <v>0</v>
      </c>
      <c r="B337" s="700"/>
      <c r="C337" s="700"/>
      <c r="D337" s="700"/>
      <c r="E337" s="639">
        <f>COLABORACIONES!C18</f>
        <v>0</v>
      </c>
      <c r="F337" s="673">
        <f>COLABORACIONES!D18</f>
        <v>0</v>
      </c>
      <c r="G337" s="672">
        <f>COLABORACIONES!E18*N337</f>
        <v>0</v>
      </c>
      <c r="H337" s="522">
        <f>COLABORACIONES!E18</f>
        <v>0</v>
      </c>
      <c r="I337" s="669">
        <f>COLABORACIONES!F18*O337</f>
        <v>0</v>
      </c>
      <c r="J337" s="522">
        <f>COLABORACIONES!F18</f>
        <v>0</v>
      </c>
      <c r="K337" s="526">
        <f t="shared" si="19"/>
        <v>0</v>
      </c>
      <c r="L337" s="523">
        <f>COLABORACIONES!G18</f>
        <v>0</v>
      </c>
      <c r="N337" s="664">
        <v>1</v>
      </c>
      <c r="O337" s="665">
        <v>1</v>
      </c>
      <c r="P337" s="780"/>
      <c r="Q337" s="955"/>
      <c r="R337" s="955"/>
      <c r="S337" s="955"/>
      <c r="T337" s="955"/>
      <c r="U337" s="955"/>
      <c r="V337" s="955"/>
    </row>
    <row r="338" spans="1:22" x14ac:dyDescent="0.2">
      <c r="A338" s="725">
        <f>COLABORACIONES!B19</f>
        <v>0</v>
      </c>
      <c r="B338" s="700"/>
      <c r="C338" s="700"/>
      <c r="D338" s="700"/>
      <c r="E338" s="639">
        <f>COLABORACIONES!C19</f>
        <v>0</v>
      </c>
      <c r="F338" s="673">
        <f>COLABORACIONES!D19</f>
        <v>0</v>
      </c>
      <c r="G338" s="672">
        <f>COLABORACIONES!E19*N338</f>
        <v>0</v>
      </c>
      <c r="H338" s="522">
        <f>COLABORACIONES!E19</f>
        <v>0</v>
      </c>
      <c r="I338" s="669">
        <f>COLABORACIONES!F19*O338</f>
        <v>0</v>
      </c>
      <c r="J338" s="522">
        <f>COLABORACIONES!F19</f>
        <v>0</v>
      </c>
      <c r="K338" s="526">
        <f t="shared" si="19"/>
        <v>0</v>
      </c>
      <c r="L338" s="523">
        <f>COLABORACIONES!G19</f>
        <v>0</v>
      </c>
      <c r="N338" s="664">
        <v>1</v>
      </c>
      <c r="O338" s="665">
        <v>1</v>
      </c>
      <c r="P338" s="780"/>
      <c r="Q338" s="955"/>
      <c r="R338" s="955"/>
      <c r="S338" s="955"/>
      <c r="T338" s="955"/>
      <c r="U338" s="955"/>
      <c r="V338" s="955"/>
    </row>
    <row r="339" spans="1:22" x14ac:dyDescent="0.2">
      <c r="A339" s="725">
        <f>COLABORACIONES!B20</f>
        <v>0</v>
      </c>
      <c r="B339" s="700"/>
      <c r="C339" s="700"/>
      <c r="D339" s="700"/>
      <c r="E339" s="639">
        <f>COLABORACIONES!C20</f>
        <v>0</v>
      </c>
      <c r="F339" s="673">
        <f>COLABORACIONES!D20</f>
        <v>0</v>
      </c>
      <c r="G339" s="672">
        <f>COLABORACIONES!E20*N339</f>
        <v>0</v>
      </c>
      <c r="H339" s="522">
        <f>COLABORACIONES!E20</f>
        <v>0</v>
      </c>
      <c r="I339" s="669">
        <f>COLABORACIONES!F20*O339</f>
        <v>0</v>
      </c>
      <c r="J339" s="522">
        <f>COLABORACIONES!F20</f>
        <v>0</v>
      </c>
      <c r="K339" s="526">
        <f t="shared" si="19"/>
        <v>0</v>
      </c>
      <c r="L339" s="523">
        <f>COLABORACIONES!G20</f>
        <v>0</v>
      </c>
      <c r="N339" s="664">
        <v>1</v>
      </c>
      <c r="O339" s="665">
        <v>1</v>
      </c>
      <c r="P339" s="780"/>
      <c r="Q339" s="955"/>
      <c r="R339" s="955"/>
      <c r="S339" s="955"/>
      <c r="T339" s="955"/>
      <c r="U339" s="955"/>
      <c r="V339" s="955"/>
    </row>
    <row r="340" spans="1:22" x14ac:dyDescent="0.2">
      <c r="A340" s="725">
        <f>COLABORACIONES!B21</f>
        <v>0</v>
      </c>
      <c r="B340" s="700"/>
      <c r="C340" s="700"/>
      <c r="D340" s="700"/>
      <c r="E340" s="639">
        <f>COLABORACIONES!C21</f>
        <v>0</v>
      </c>
      <c r="F340" s="673">
        <f>COLABORACIONES!D21</f>
        <v>0</v>
      </c>
      <c r="G340" s="672">
        <f>COLABORACIONES!E21*N340</f>
        <v>0</v>
      </c>
      <c r="H340" s="522">
        <f>COLABORACIONES!E21</f>
        <v>0</v>
      </c>
      <c r="I340" s="669">
        <f>COLABORACIONES!F21*O340</f>
        <v>0</v>
      </c>
      <c r="J340" s="522">
        <f>COLABORACIONES!F21</f>
        <v>0</v>
      </c>
      <c r="K340" s="526">
        <f t="shared" si="19"/>
        <v>0</v>
      </c>
      <c r="L340" s="523">
        <f>COLABORACIONES!G21</f>
        <v>0</v>
      </c>
      <c r="N340" s="664">
        <v>1</v>
      </c>
      <c r="O340" s="665">
        <v>1</v>
      </c>
      <c r="P340" s="780"/>
      <c r="Q340" s="955"/>
      <c r="R340" s="955"/>
      <c r="S340" s="955"/>
      <c r="T340" s="955"/>
      <c r="U340" s="955"/>
      <c r="V340" s="955"/>
    </row>
    <row r="341" spans="1:22" x14ac:dyDescent="0.2">
      <c r="A341" s="725">
        <f>COLABORACIONES!B22</f>
        <v>0</v>
      </c>
      <c r="B341" s="700"/>
      <c r="C341" s="700"/>
      <c r="D341" s="700"/>
      <c r="E341" s="639">
        <f>COLABORACIONES!C22</f>
        <v>0</v>
      </c>
      <c r="F341" s="673">
        <f>COLABORACIONES!D22</f>
        <v>0</v>
      </c>
      <c r="G341" s="672">
        <f>COLABORACIONES!E22*N341</f>
        <v>0</v>
      </c>
      <c r="H341" s="522">
        <f>COLABORACIONES!E22</f>
        <v>0</v>
      </c>
      <c r="I341" s="669">
        <f>COLABORACIONES!F22*O341</f>
        <v>0</v>
      </c>
      <c r="J341" s="522">
        <f>COLABORACIONES!F22</f>
        <v>0</v>
      </c>
      <c r="K341" s="526">
        <f t="shared" si="19"/>
        <v>0</v>
      </c>
      <c r="L341" s="523">
        <f>COLABORACIONES!G22</f>
        <v>0</v>
      </c>
      <c r="N341" s="664">
        <v>1</v>
      </c>
      <c r="O341" s="665">
        <v>1</v>
      </c>
      <c r="P341" s="780"/>
      <c r="Q341" s="955"/>
      <c r="R341" s="955"/>
      <c r="S341" s="955"/>
      <c r="T341" s="955"/>
      <c r="U341" s="955"/>
      <c r="V341" s="955"/>
    </row>
    <row r="342" spans="1:22" x14ac:dyDescent="0.2">
      <c r="A342" s="725">
        <f>COLABORACIONES!B23</f>
        <v>0</v>
      </c>
      <c r="B342" s="700"/>
      <c r="C342" s="700"/>
      <c r="D342" s="700"/>
      <c r="E342" s="639">
        <f>COLABORACIONES!C23</f>
        <v>0</v>
      </c>
      <c r="F342" s="673">
        <f>COLABORACIONES!D23</f>
        <v>0</v>
      </c>
      <c r="G342" s="672">
        <f>COLABORACIONES!E23*N342</f>
        <v>0</v>
      </c>
      <c r="H342" s="522">
        <f>COLABORACIONES!E23</f>
        <v>0</v>
      </c>
      <c r="I342" s="669">
        <f>COLABORACIONES!F23*O342</f>
        <v>0</v>
      </c>
      <c r="J342" s="522">
        <f>COLABORACIONES!F23</f>
        <v>0</v>
      </c>
      <c r="K342" s="526">
        <f t="shared" si="19"/>
        <v>0</v>
      </c>
      <c r="L342" s="523">
        <f>COLABORACIONES!G23</f>
        <v>0</v>
      </c>
      <c r="N342" s="664">
        <v>1</v>
      </c>
      <c r="O342" s="665">
        <v>1</v>
      </c>
      <c r="P342" s="780"/>
      <c r="Q342" s="955"/>
      <c r="R342" s="955"/>
      <c r="S342" s="955"/>
      <c r="T342" s="955"/>
      <c r="U342" s="955"/>
      <c r="V342" s="955"/>
    </row>
    <row r="343" spans="1:22" x14ac:dyDescent="0.2">
      <c r="A343" s="725">
        <f>COLABORACIONES!B24</f>
        <v>0</v>
      </c>
      <c r="B343" s="700"/>
      <c r="C343" s="700"/>
      <c r="D343" s="700"/>
      <c r="E343" s="639">
        <f>COLABORACIONES!C24</f>
        <v>0</v>
      </c>
      <c r="F343" s="673">
        <f>COLABORACIONES!D24</f>
        <v>0</v>
      </c>
      <c r="G343" s="672">
        <f>COLABORACIONES!E24*N343</f>
        <v>0</v>
      </c>
      <c r="H343" s="522">
        <f>COLABORACIONES!E24</f>
        <v>0</v>
      </c>
      <c r="I343" s="669">
        <f>COLABORACIONES!F24*O343</f>
        <v>0</v>
      </c>
      <c r="J343" s="522">
        <f>COLABORACIONES!F24</f>
        <v>0</v>
      </c>
      <c r="K343" s="526">
        <f t="shared" si="19"/>
        <v>0</v>
      </c>
      <c r="L343" s="523">
        <f>COLABORACIONES!G24</f>
        <v>0</v>
      </c>
      <c r="N343" s="664">
        <v>1</v>
      </c>
      <c r="O343" s="665">
        <v>1</v>
      </c>
      <c r="P343" s="780"/>
      <c r="Q343" s="955"/>
      <c r="R343" s="955"/>
      <c r="S343" s="955"/>
      <c r="T343" s="955"/>
      <c r="U343" s="955"/>
      <c r="V343" s="955"/>
    </row>
    <row r="344" spans="1:22" x14ac:dyDescent="0.2">
      <c r="A344" s="725">
        <f>COLABORACIONES!B25</f>
        <v>0</v>
      </c>
      <c r="B344" s="700"/>
      <c r="C344" s="700"/>
      <c r="D344" s="700"/>
      <c r="E344" s="639">
        <f>COLABORACIONES!C25</f>
        <v>0</v>
      </c>
      <c r="F344" s="673">
        <f>COLABORACIONES!D25</f>
        <v>0</v>
      </c>
      <c r="G344" s="672">
        <f>COLABORACIONES!E25*N344</f>
        <v>0</v>
      </c>
      <c r="H344" s="522">
        <f>COLABORACIONES!E25</f>
        <v>0</v>
      </c>
      <c r="I344" s="669">
        <f>COLABORACIONES!F25*O344</f>
        <v>0</v>
      </c>
      <c r="J344" s="522">
        <f>COLABORACIONES!F25</f>
        <v>0</v>
      </c>
      <c r="K344" s="526">
        <f t="shared" si="19"/>
        <v>0</v>
      </c>
      <c r="L344" s="523">
        <f>COLABORACIONES!G25</f>
        <v>0</v>
      </c>
      <c r="N344" s="664">
        <v>1</v>
      </c>
      <c r="O344" s="665">
        <v>1</v>
      </c>
      <c r="P344" s="780"/>
      <c r="Q344" s="955"/>
      <c r="R344" s="955"/>
      <c r="S344" s="955"/>
      <c r="T344" s="955"/>
      <c r="U344" s="955"/>
      <c r="V344" s="955"/>
    </row>
    <row r="345" spans="1:22" x14ac:dyDescent="0.2">
      <c r="A345" s="725">
        <f>COLABORACIONES!B26</f>
        <v>0</v>
      </c>
      <c r="B345" s="700"/>
      <c r="C345" s="700"/>
      <c r="D345" s="700"/>
      <c r="E345" s="639">
        <f>COLABORACIONES!C26</f>
        <v>0</v>
      </c>
      <c r="F345" s="673">
        <f>COLABORACIONES!D26</f>
        <v>0</v>
      </c>
      <c r="G345" s="672">
        <f>COLABORACIONES!E26*N345</f>
        <v>0</v>
      </c>
      <c r="H345" s="522">
        <f>COLABORACIONES!E26</f>
        <v>0</v>
      </c>
      <c r="I345" s="669">
        <f>COLABORACIONES!F26*O345</f>
        <v>0</v>
      </c>
      <c r="J345" s="522">
        <f>COLABORACIONES!F26</f>
        <v>0</v>
      </c>
      <c r="K345" s="526">
        <f t="shared" si="19"/>
        <v>0</v>
      </c>
      <c r="L345" s="523">
        <f>COLABORACIONES!G26</f>
        <v>0</v>
      </c>
      <c r="N345" s="664">
        <v>1</v>
      </c>
      <c r="O345" s="665">
        <v>1</v>
      </c>
      <c r="P345" s="780"/>
      <c r="Q345" s="955"/>
      <c r="R345" s="955"/>
      <c r="S345" s="955"/>
      <c r="T345" s="955"/>
      <c r="U345" s="955"/>
      <c r="V345" s="955"/>
    </row>
    <row r="346" spans="1:22" x14ac:dyDescent="0.2">
      <c r="A346" s="725">
        <f>COLABORACIONES!B27</f>
        <v>0</v>
      </c>
      <c r="B346" s="700"/>
      <c r="C346" s="700"/>
      <c r="D346" s="700"/>
      <c r="E346" s="639">
        <f>COLABORACIONES!C27</f>
        <v>0</v>
      </c>
      <c r="F346" s="673">
        <f>COLABORACIONES!D27</f>
        <v>0</v>
      </c>
      <c r="G346" s="672">
        <f>COLABORACIONES!E27*N346</f>
        <v>0</v>
      </c>
      <c r="H346" s="522">
        <f>COLABORACIONES!E27</f>
        <v>0</v>
      </c>
      <c r="I346" s="669">
        <f>COLABORACIONES!F27*O346</f>
        <v>0</v>
      </c>
      <c r="J346" s="522">
        <f>COLABORACIONES!F27</f>
        <v>0</v>
      </c>
      <c r="K346" s="526">
        <f t="shared" si="19"/>
        <v>0</v>
      </c>
      <c r="L346" s="523">
        <f>COLABORACIONES!G27</f>
        <v>0</v>
      </c>
      <c r="N346" s="664">
        <v>1</v>
      </c>
      <c r="O346" s="665">
        <v>1</v>
      </c>
      <c r="P346" s="780"/>
      <c r="Q346" s="955"/>
      <c r="R346" s="955"/>
      <c r="S346" s="955"/>
      <c r="T346" s="955"/>
      <c r="U346" s="955"/>
      <c r="V346" s="955"/>
    </row>
    <row r="347" spans="1:22" x14ac:dyDescent="0.2">
      <c r="A347" s="725">
        <f>COLABORACIONES!B28</f>
        <v>0</v>
      </c>
      <c r="B347" s="700"/>
      <c r="C347" s="700"/>
      <c r="D347" s="700"/>
      <c r="E347" s="639">
        <f>COLABORACIONES!C28</f>
        <v>0</v>
      </c>
      <c r="F347" s="673">
        <f>COLABORACIONES!D28</f>
        <v>0</v>
      </c>
      <c r="G347" s="672">
        <f>COLABORACIONES!E28*N347</f>
        <v>0</v>
      </c>
      <c r="H347" s="522">
        <f>COLABORACIONES!E28</f>
        <v>0</v>
      </c>
      <c r="I347" s="669">
        <f>COLABORACIONES!F28*O347</f>
        <v>0</v>
      </c>
      <c r="J347" s="522">
        <f>COLABORACIONES!F28</f>
        <v>0</v>
      </c>
      <c r="K347" s="526">
        <f t="shared" si="19"/>
        <v>0</v>
      </c>
      <c r="L347" s="523">
        <f>COLABORACIONES!G28</f>
        <v>0</v>
      </c>
      <c r="N347" s="664">
        <v>1</v>
      </c>
      <c r="O347" s="665">
        <v>1</v>
      </c>
      <c r="P347" s="780"/>
      <c r="Q347" s="955"/>
      <c r="R347" s="955"/>
      <c r="S347" s="955"/>
      <c r="T347" s="955"/>
      <c r="U347" s="955"/>
      <c r="V347" s="955"/>
    </row>
    <row r="348" spans="1:22" x14ac:dyDescent="0.2">
      <c r="A348" s="725">
        <f>COLABORACIONES!B29</f>
        <v>0</v>
      </c>
      <c r="B348" s="700"/>
      <c r="C348" s="700"/>
      <c r="D348" s="700"/>
      <c r="E348" s="639">
        <f>COLABORACIONES!C29</f>
        <v>0</v>
      </c>
      <c r="F348" s="673">
        <f>COLABORACIONES!D29</f>
        <v>0</v>
      </c>
      <c r="G348" s="672">
        <f>COLABORACIONES!E29*N348</f>
        <v>0</v>
      </c>
      <c r="H348" s="522">
        <f>COLABORACIONES!E29</f>
        <v>0</v>
      </c>
      <c r="I348" s="669">
        <f>COLABORACIONES!F29*O348</f>
        <v>0</v>
      </c>
      <c r="J348" s="522">
        <f>COLABORACIONES!F29</f>
        <v>0</v>
      </c>
      <c r="K348" s="526">
        <f t="shared" si="19"/>
        <v>0</v>
      </c>
      <c r="L348" s="523">
        <f>COLABORACIONES!G29</f>
        <v>0</v>
      </c>
      <c r="N348" s="664">
        <v>1</v>
      </c>
      <c r="O348" s="665">
        <v>1</v>
      </c>
      <c r="P348" s="780"/>
      <c r="Q348" s="955"/>
      <c r="R348" s="955"/>
      <c r="S348" s="955"/>
      <c r="T348" s="955"/>
      <c r="U348" s="955"/>
      <c r="V348" s="955"/>
    </row>
    <row r="349" spans="1:22" x14ac:dyDescent="0.2">
      <c r="A349" s="725">
        <f>COLABORACIONES!B30</f>
        <v>0</v>
      </c>
      <c r="B349" s="700"/>
      <c r="C349" s="700"/>
      <c r="D349" s="700"/>
      <c r="E349" s="639">
        <f>COLABORACIONES!C30</f>
        <v>0</v>
      </c>
      <c r="F349" s="673">
        <f>COLABORACIONES!D30</f>
        <v>0</v>
      </c>
      <c r="G349" s="672">
        <f>COLABORACIONES!E30*N349</f>
        <v>0</v>
      </c>
      <c r="H349" s="522">
        <f>COLABORACIONES!E30</f>
        <v>0</v>
      </c>
      <c r="I349" s="669">
        <f>COLABORACIONES!F30*O349</f>
        <v>0</v>
      </c>
      <c r="J349" s="522">
        <f>COLABORACIONES!F30</f>
        <v>0</v>
      </c>
      <c r="K349" s="526">
        <f t="shared" si="19"/>
        <v>0</v>
      </c>
      <c r="L349" s="523">
        <f>COLABORACIONES!G30</f>
        <v>0</v>
      </c>
      <c r="N349" s="664">
        <v>1</v>
      </c>
      <c r="O349" s="665">
        <v>1</v>
      </c>
      <c r="P349" s="780"/>
      <c r="Q349" s="955"/>
      <c r="R349" s="955"/>
      <c r="S349" s="955"/>
      <c r="T349" s="955"/>
      <c r="U349" s="955"/>
      <c r="V349" s="955"/>
    </row>
    <row r="350" spans="1:22" x14ac:dyDescent="0.2">
      <c r="A350" s="725">
        <f>COLABORACIONES!B31</f>
        <v>0</v>
      </c>
      <c r="B350" s="700"/>
      <c r="C350" s="700"/>
      <c r="D350" s="700"/>
      <c r="E350" s="639">
        <f>COLABORACIONES!C31</f>
        <v>0</v>
      </c>
      <c r="F350" s="673">
        <f>COLABORACIONES!D31</f>
        <v>0</v>
      </c>
      <c r="G350" s="672">
        <f>COLABORACIONES!E31*N350</f>
        <v>0</v>
      </c>
      <c r="H350" s="522">
        <f>COLABORACIONES!E31</f>
        <v>0</v>
      </c>
      <c r="I350" s="669">
        <f>COLABORACIONES!F31*O350</f>
        <v>0</v>
      </c>
      <c r="J350" s="522">
        <f>COLABORACIONES!F31</f>
        <v>0</v>
      </c>
      <c r="K350" s="526">
        <f t="shared" si="19"/>
        <v>0</v>
      </c>
      <c r="L350" s="523">
        <f>COLABORACIONES!G31</f>
        <v>0</v>
      </c>
      <c r="N350" s="664">
        <v>1</v>
      </c>
      <c r="O350" s="665">
        <v>1</v>
      </c>
      <c r="P350" s="780"/>
      <c r="Q350" s="955"/>
      <c r="R350" s="955"/>
      <c r="S350" s="955"/>
      <c r="T350" s="955"/>
      <c r="U350" s="955"/>
      <c r="V350" s="955"/>
    </row>
    <row r="351" spans="1:22" x14ac:dyDescent="0.2">
      <c r="A351" s="725">
        <f>COLABORACIONES!B32</f>
        <v>0</v>
      </c>
      <c r="B351" s="700"/>
      <c r="C351" s="700"/>
      <c r="D351" s="700"/>
      <c r="E351" s="639">
        <f>COLABORACIONES!C32</f>
        <v>0</v>
      </c>
      <c r="F351" s="673">
        <f>COLABORACIONES!D32</f>
        <v>0</v>
      </c>
      <c r="G351" s="672">
        <f>COLABORACIONES!E32*N351</f>
        <v>0</v>
      </c>
      <c r="H351" s="522">
        <f>COLABORACIONES!E32</f>
        <v>0</v>
      </c>
      <c r="I351" s="669">
        <f>COLABORACIONES!F32*O351</f>
        <v>0</v>
      </c>
      <c r="J351" s="522">
        <f>COLABORACIONES!F32</f>
        <v>0</v>
      </c>
      <c r="K351" s="526">
        <f t="shared" si="19"/>
        <v>0</v>
      </c>
      <c r="L351" s="523">
        <f>COLABORACIONES!G32</f>
        <v>0</v>
      </c>
      <c r="N351" s="664">
        <v>1</v>
      </c>
      <c r="O351" s="665">
        <v>1</v>
      </c>
      <c r="P351" s="780"/>
      <c r="Q351" s="955"/>
      <c r="R351" s="955"/>
      <c r="S351" s="955"/>
      <c r="T351" s="955"/>
      <c r="U351" s="955"/>
      <c r="V351" s="955"/>
    </row>
    <row r="352" spans="1:22" ht="13.5" thickBot="1" x14ac:dyDescent="0.25">
      <c r="A352" s="725">
        <f>COLABORACIONES!B33</f>
        <v>0</v>
      </c>
      <c r="B352" s="700"/>
      <c r="C352" s="700"/>
      <c r="D352" s="700"/>
      <c r="E352" s="639">
        <f>COLABORACIONES!C33</f>
        <v>0</v>
      </c>
      <c r="F352" s="673">
        <f>COLABORACIONES!D33</f>
        <v>0</v>
      </c>
      <c r="G352" s="672">
        <f>COLABORACIONES!E33*N352</f>
        <v>0</v>
      </c>
      <c r="H352" s="522">
        <f>COLABORACIONES!E33</f>
        <v>0</v>
      </c>
      <c r="I352" s="669">
        <f>COLABORACIONES!F33*O352</f>
        <v>0</v>
      </c>
      <c r="J352" s="522">
        <f>COLABORACIONES!F33</f>
        <v>0</v>
      </c>
      <c r="K352" s="526">
        <f t="shared" si="19"/>
        <v>0</v>
      </c>
      <c r="L352" s="523">
        <f>COLABORACIONES!G33</f>
        <v>0</v>
      </c>
      <c r="N352" s="666">
        <v>1</v>
      </c>
      <c r="O352" s="667">
        <v>1</v>
      </c>
      <c r="P352" s="953"/>
      <c r="Q352" s="954"/>
      <c r="R352" s="954"/>
      <c r="S352" s="954"/>
      <c r="T352" s="954"/>
      <c r="U352" s="954"/>
      <c r="V352" s="954"/>
    </row>
    <row r="353" spans="1:22" ht="13.5" thickBot="1" x14ac:dyDescent="0.25">
      <c r="A353" s="787" t="str">
        <f>COLABORACIONES!B34</f>
        <v>TOTAL</v>
      </c>
      <c r="B353" s="788"/>
      <c r="C353" s="788"/>
      <c r="D353" s="788"/>
      <c r="E353" s="788"/>
      <c r="F353" s="789"/>
      <c r="G353" s="534">
        <f>SUM(G323:G352)</f>
        <v>0</v>
      </c>
      <c r="H353" s="535">
        <f>COLABORACIONES!E34</f>
        <v>0</v>
      </c>
      <c r="I353" s="601">
        <f>SUM(I323:I352)</f>
        <v>0</v>
      </c>
      <c r="J353" s="535">
        <f>COLABORACIONES!F34</f>
        <v>0</v>
      </c>
      <c r="K353" s="601">
        <f>SUM(K323:K352)</f>
        <v>0</v>
      </c>
      <c r="L353" s="536">
        <f>COLABORACIONES!G34</f>
        <v>0</v>
      </c>
    </row>
    <row r="354" spans="1:22" ht="13.5" thickBot="1" x14ac:dyDescent="0.25">
      <c r="A354" s="790"/>
      <c r="B354" s="790"/>
      <c r="C354" s="790"/>
      <c r="D354" s="790"/>
    </row>
    <row r="355" spans="1:22" ht="16.5" x14ac:dyDescent="0.2">
      <c r="A355" s="790"/>
      <c r="B355" s="790"/>
      <c r="C355" s="790"/>
      <c r="D355" s="790"/>
      <c r="G355" s="928" t="s">
        <v>11</v>
      </c>
      <c r="H355" s="929"/>
      <c r="I355" s="929" t="s">
        <v>12</v>
      </c>
      <c r="J355" s="929"/>
      <c r="K355" s="929" t="s">
        <v>62</v>
      </c>
      <c r="L355" s="1001"/>
    </row>
    <row r="356" spans="1:22" ht="17.25" thickBot="1" x14ac:dyDescent="0.25">
      <c r="A356" s="790"/>
      <c r="B356" s="790"/>
      <c r="C356" s="790"/>
      <c r="D356" s="790"/>
      <c r="G356" s="516" t="s">
        <v>554</v>
      </c>
      <c r="H356" s="503" t="s">
        <v>553</v>
      </c>
      <c r="I356" s="502" t="s">
        <v>554</v>
      </c>
      <c r="J356" s="503" t="s">
        <v>553</v>
      </c>
      <c r="K356" s="502" t="s">
        <v>554</v>
      </c>
      <c r="L356" s="517" t="s">
        <v>553</v>
      </c>
    </row>
    <row r="357" spans="1:22" x14ac:dyDescent="0.2">
      <c r="A357" s="701" t="str">
        <f>COLABORACIONES!B38</f>
        <v>TOTAL COLABORACIONES POR TIPO DE COLABORADOR  (€)</v>
      </c>
      <c r="B357" s="702"/>
      <c r="C357" s="702"/>
      <c r="D357" s="702"/>
      <c r="E357" s="728" t="s">
        <v>131</v>
      </c>
      <c r="F357" s="729"/>
      <c r="G357" s="525">
        <f>SUMIF(F323:F352,"Empresa",G323:G352)</f>
        <v>0</v>
      </c>
      <c r="H357" s="524">
        <f>COLABORACIONES!E38</f>
        <v>0</v>
      </c>
      <c r="I357" s="518">
        <f>SUMIF($F$323:$F$352,"Empresa",$I$323:$I$352)</f>
        <v>0</v>
      </c>
      <c r="J357" s="524">
        <f>COLABORACIONES!F38</f>
        <v>0</v>
      </c>
      <c r="K357" s="526">
        <f t="shared" ref="K357:K362" si="20">G357+I357</f>
        <v>0</v>
      </c>
      <c r="L357" s="523">
        <f>COLABORACIONES!G38</f>
        <v>0</v>
      </c>
    </row>
    <row r="358" spans="1:22" x14ac:dyDescent="0.2">
      <c r="A358" s="703"/>
      <c r="B358" s="704"/>
      <c r="C358" s="704"/>
      <c r="D358" s="704"/>
      <c r="E358" s="791" t="s">
        <v>133</v>
      </c>
      <c r="F358" s="792"/>
      <c r="G358" s="525">
        <f>SUMIF(E323:E352,"SI",G323:G352)</f>
        <v>0</v>
      </c>
      <c r="H358" s="524">
        <f>COLABORACIONES!E39</f>
        <v>0</v>
      </c>
      <c r="I358" s="518">
        <f>SUMIF($E$323:$E$352,"SI",$I$323:$I$352)</f>
        <v>0</v>
      </c>
      <c r="J358" s="524">
        <f>COLABORACIONES!F39</f>
        <v>0</v>
      </c>
      <c r="K358" s="526">
        <f t="shared" si="20"/>
        <v>0</v>
      </c>
      <c r="L358" s="523">
        <f>COLABORACIONES!G39</f>
        <v>0</v>
      </c>
    </row>
    <row r="359" spans="1:22" x14ac:dyDescent="0.2">
      <c r="A359" s="703"/>
      <c r="B359" s="704"/>
      <c r="C359" s="704"/>
      <c r="D359" s="704"/>
      <c r="E359" s="791" t="s">
        <v>120</v>
      </c>
      <c r="F359" s="792"/>
      <c r="G359" s="525">
        <f>SUMIF($F$323:$F$352,"CT",$G$323:$G$352)</f>
        <v>0</v>
      </c>
      <c r="H359" s="524">
        <f>COLABORACIONES!E40</f>
        <v>0</v>
      </c>
      <c r="I359" s="518">
        <f>SUMIF($F$323:$F$352,"CT",$I$323:$I$352)</f>
        <v>0</v>
      </c>
      <c r="J359" s="524">
        <f>COLABORACIONES!F40</f>
        <v>0</v>
      </c>
      <c r="K359" s="526">
        <f t="shared" si="20"/>
        <v>0</v>
      </c>
      <c r="L359" s="523">
        <f>COLABORACIONES!G40</f>
        <v>0</v>
      </c>
    </row>
    <row r="360" spans="1:22" x14ac:dyDescent="0.2">
      <c r="A360" s="703"/>
      <c r="B360" s="704"/>
      <c r="C360" s="704"/>
      <c r="D360" s="704"/>
      <c r="E360" s="791" t="s">
        <v>125</v>
      </c>
      <c r="F360" s="792"/>
      <c r="G360" s="525">
        <f>SUMIF($F$323:$F$352,"Universidad",$G$323:$G$352)</f>
        <v>0</v>
      </c>
      <c r="H360" s="524">
        <f>COLABORACIONES!E41</f>
        <v>0</v>
      </c>
      <c r="I360" s="518">
        <f>SUMIF($F$323:$F$352,"Universidad",$I$323:$I$352)</f>
        <v>0</v>
      </c>
      <c r="J360" s="524">
        <f>COLABORACIONES!F41</f>
        <v>0</v>
      </c>
      <c r="K360" s="526">
        <f t="shared" si="20"/>
        <v>0</v>
      </c>
      <c r="L360" s="523">
        <f>COLABORACIONES!G41</f>
        <v>0</v>
      </c>
    </row>
    <row r="361" spans="1:22" x14ac:dyDescent="0.2">
      <c r="A361" s="703"/>
      <c r="B361" s="704"/>
      <c r="C361" s="704"/>
      <c r="D361" s="704"/>
      <c r="E361" s="791" t="s">
        <v>121</v>
      </c>
      <c r="F361" s="792"/>
      <c r="G361" s="525">
        <f>SUMIF($F$323:$F$352,"ICTS",$G$323:$G$352)</f>
        <v>0</v>
      </c>
      <c r="H361" s="524">
        <f>COLABORACIONES!E42</f>
        <v>0</v>
      </c>
      <c r="I361" s="518">
        <f>SUMIF($F$323:$F$352,"ICTS",$I$323:$I$352)</f>
        <v>0</v>
      </c>
      <c r="J361" s="524">
        <f>COLABORACIONES!F42</f>
        <v>0</v>
      </c>
      <c r="K361" s="526">
        <f t="shared" si="20"/>
        <v>0</v>
      </c>
      <c r="L361" s="523">
        <f>COLABORACIONES!G42</f>
        <v>0</v>
      </c>
    </row>
    <row r="362" spans="1:22" ht="13.5" thickBot="1" x14ac:dyDescent="0.25">
      <c r="A362" s="705"/>
      <c r="B362" s="706"/>
      <c r="C362" s="706"/>
      <c r="D362" s="706"/>
      <c r="E362" s="1002" t="s">
        <v>132</v>
      </c>
      <c r="F362" s="1003"/>
      <c r="G362" s="527">
        <f>SUM(G359:G361)</f>
        <v>0</v>
      </c>
      <c r="H362" s="528">
        <f>COLABORACIONES!E43</f>
        <v>0</v>
      </c>
      <c r="I362" s="529">
        <f>SUM(I359:I361)</f>
        <v>0</v>
      </c>
      <c r="J362" s="528">
        <f>COLABORACIONES!F43</f>
        <v>0</v>
      </c>
      <c r="K362" s="530">
        <f t="shared" si="20"/>
        <v>0</v>
      </c>
      <c r="L362" s="531">
        <f>COLABORACIONES!G43</f>
        <v>0</v>
      </c>
    </row>
    <row r="364" spans="1:22" x14ac:dyDescent="0.2">
      <c r="A364" s="427"/>
      <c r="B364" s="428" t="s">
        <v>530</v>
      </c>
      <c r="C364" s="427"/>
      <c r="D364" s="427"/>
      <c r="E364" s="427"/>
      <c r="F364" s="427"/>
      <c r="G364" s="427"/>
      <c r="H364" s="427"/>
      <c r="I364" s="426"/>
      <c r="J364" s="469"/>
      <c r="K364" s="469"/>
      <c r="L364" s="469"/>
      <c r="M364" s="469"/>
      <c r="N364" s="469"/>
      <c r="O364" s="469"/>
      <c r="P364" s="469"/>
      <c r="Q364" s="469"/>
      <c r="R364" s="469"/>
      <c r="S364" s="469"/>
      <c r="T364" s="469"/>
      <c r="U364" s="469"/>
      <c r="V364" s="469"/>
    </row>
    <row r="365" spans="1:22" s="461" customFormat="1" x14ac:dyDescent="0.2">
      <c r="A365" s="462" t="s">
        <v>549</v>
      </c>
      <c r="B365" s="463"/>
      <c r="C365" s="463"/>
      <c r="D365" s="463"/>
      <c r="E365" s="465"/>
      <c r="F365" s="465"/>
      <c r="G365" s="465"/>
      <c r="H365" s="465"/>
      <c r="I365" s="466"/>
      <c r="J365" s="465"/>
      <c r="K365" s="465"/>
      <c r="L365" s="466"/>
    </row>
    <row r="366" spans="1:22" s="461" customFormat="1" x14ac:dyDescent="0.2">
      <c r="A366" s="464" t="s">
        <v>550</v>
      </c>
      <c r="B366" s="465"/>
      <c r="C366" s="465"/>
      <c r="D366" s="465"/>
      <c r="E366" s="465"/>
      <c r="F366" s="465"/>
      <c r="G366" s="465"/>
      <c r="H366" s="465"/>
      <c r="I366" s="466"/>
      <c r="J366" s="465"/>
      <c r="K366" s="465"/>
      <c r="L366" s="466"/>
    </row>
    <row r="367" spans="1:22" s="461" customFormat="1" ht="13.5" thickBot="1" x14ac:dyDescent="0.25">
      <c r="A367" s="464"/>
      <c r="B367" s="465"/>
      <c r="C367" s="465"/>
      <c r="D367" s="465"/>
      <c r="E367" s="465"/>
      <c r="F367" s="467" t="s">
        <v>551</v>
      </c>
      <c r="G367" s="465"/>
      <c r="H367" s="465"/>
      <c r="I367" s="466"/>
      <c r="J367" s="465"/>
      <c r="K367" s="465"/>
      <c r="L367" s="466"/>
    </row>
    <row r="368" spans="1:22" s="461" customFormat="1" x14ac:dyDescent="0.2">
      <c r="A368" s="713"/>
      <c r="B368" s="714"/>
      <c r="C368" s="714"/>
      <c r="D368" s="714"/>
      <c r="E368" s="714"/>
      <c r="F368" s="714"/>
      <c r="G368" s="714"/>
      <c r="H368" s="714"/>
      <c r="I368" s="714"/>
      <c r="J368" s="714"/>
      <c r="K368" s="714"/>
      <c r="L368" s="715"/>
    </row>
    <row r="369" spans="1:18" s="461" customFormat="1" x14ac:dyDescent="0.2">
      <c r="A369" s="716"/>
      <c r="B369" s="717"/>
      <c r="C369" s="717"/>
      <c r="D369" s="717"/>
      <c r="E369" s="717"/>
      <c r="F369" s="717"/>
      <c r="G369" s="717"/>
      <c r="H369" s="717"/>
      <c r="I369" s="717"/>
      <c r="J369" s="717"/>
      <c r="K369" s="717"/>
      <c r="L369" s="718"/>
    </row>
    <row r="370" spans="1:18" s="461" customFormat="1" x14ac:dyDescent="0.2">
      <c r="A370" s="716"/>
      <c r="B370" s="717"/>
      <c r="C370" s="717"/>
      <c r="D370" s="717"/>
      <c r="E370" s="717"/>
      <c r="F370" s="717"/>
      <c r="G370" s="717"/>
      <c r="H370" s="717"/>
      <c r="I370" s="717"/>
      <c r="J370" s="717"/>
      <c r="K370" s="717"/>
      <c r="L370" s="718"/>
    </row>
    <row r="371" spans="1:18" s="461" customFormat="1" x14ac:dyDescent="0.2">
      <c r="A371" s="716"/>
      <c r="B371" s="717"/>
      <c r="C371" s="717"/>
      <c r="D371" s="717"/>
      <c r="E371" s="717"/>
      <c r="F371" s="717"/>
      <c r="G371" s="717"/>
      <c r="H371" s="717"/>
      <c r="I371" s="717"/>
      <c r="J371" s="717"/>
      <c r="K371" s="717"/>
      <c r="L371" s="718"/>
    </row>
    <row r="372" spans="1:18" s="461" customFormat="1" x14ac:dyDescent="0.2">
      <c r="A372" s="716"/>
      <c r="B372" s="717"/>
      <c r="C372" s="717"/>
      <c r="D372" s="717"/>
      <c r="E372" s="717"/>
      <c r="F372" s="717"/>
      <c r="G372" s="717"/>
      <c r="H372" s="717"/>
      <c r="I372" s="717"/>
      <c r="J372" s="717"/>
      <c r="K372" s="717"/>
      <c r="L372" s="718"/>
    </row>
    <row r="373" spans="1:18" s="461" customFormat="1" x14ac:dyDescent="0.2">
      <c r="A373" s="716"/>
      <c r="B373" s="717"/>
      <c r="C373" s="717"/>
      <c r="D373" s="717"/>
      <c r="E373" s="717"/>
      <c r="F373" s="717"/>
      <c r="G373" s="717"/>
      <c r="H373" s="717"/>
      <c r="I373" s="717"/>
      <c r="J373" s="717"/>
      <c r="K373" s="717"/>
      <c r="L373" s="718"/>
    </row>
    <row r="374" spans="1:18" s="461" customFormat="1" x14ac:dyDescent="0.2">
      <c r="A374" s="716"/>
      <c r="B374" s="717"/>
      <c r="C374" s="717"/>
      <c r="D374" s="717"/>
      <c r="E374" s="717"/>
      <c r="F374" s="717"/>
      <c r="G374" s="717"/>
      <c r="H374" s="717"/>
      <c r="I374" s="717"/>
      <c r="J374" s="717"/>
      <c r="K374" s="717"/>
      <c r="L374" s="718"/>
    </row>
    <row r="375" spans="1:18" s="461" customFormat="1" ht="13.5" thickBot="1" x14ac:dyDescent="0.25">
      <c r="A375" s="716"/>
      <c r="B375" s="717"/>
      <c r="C375" s="717"/>
      <c r="D375" s="717"/>
      <c r="E375" s="717"/>
      <c r="F375" s="717"/>
      <c r="G375" s="717"/>
      <c r="H375" s="717"/>
      <c r="I375" s="717"/>
      <c r="J375" s="717"/>
      <c r="K375" s="717"/>
      <c r="L375" s="718"/>
    </row>
    <row r="376" spans="1:18" s="461" customFormat="1" ht="12.75" customHeight="1" x14ac:dyDescent="0.2">
      <c r="A376" s="716"/>
      <c r="B376" s="717"/>
      <c r="C376" s="717"/>
      <c r="D376" s="717"/>
      <c r="E376" s="717"/>
      <c r="F376" s="717"/>
      <c r="G376" s="717"/>
      <c r="H376" s="717"/>
      <c r="I376" s="717"/>
      <c r="J376" s="717"/>
      <c r="K376" s="717"/>
      <c r="L376" s="718"/>
      <c r="N376" s="707" t="s">
        <v>722</v>
      </c>
      <c r="O376" s="708"/>
      <c r="P376" s="674">
        <v>0</v>
      </c>
    </row>
    <row r="377" spans="1:18" s="461" customFormat="1" ht="12.75" customHeight="1" thickBot="1" x14ac:dyDescent="0.25">
      <c r="A377" s="719"/>
      <c r="B377" s="720"/>
      <c r="C377" s="720"/>
      <c r="D377" s="720"/>
      <c r="E377" s="720"/>
      <c r="F377" s="720"/>
      <c r="G377" s="720"/>
      <c r="H377" s="720"/>
      <c r="I377" s="720"/>
      <c r="J377" s="720"/>
      <c r="K377" s="720"/>
      <c r="L377" s="721"/>
      <c r="N377" s="709" t="s">
        <v>723</v>
      </c>
      <c r="O377" s="710"/>
      <c r="P377" s="673">
        <v>0</v>
      </c>
    </row>
    <row r="378" spans="1:18" ht="12.75" customHeight="1" thickBot="1" x14ac:dyDescent="0.25">
      <c r="N378" s="711" t="s">
        <v>724</v>
      </c>
      <c r="O378" s="712"/>
      <c r="P378" s="675">
        <v>0</v>
      </c>
    </row>
    <row r="379" spans="1:18" ht="25.5" customHeight="1" x14ac:dyDescent="0.2">
      <c r="A379" s="701" t="str">
        <f>'OTROS COSTES'!B4</f>
        <v>Descripción</v>
      </c>
      <c r="B379" s="702"/>
      <c r="C379" s="702"/>
      <c r="D379" s="702"/>
      <c r="E379" s="702"/>
      <c r="F379" s="793" t="s">
        <v>11</v>
      </c>
      <c r="G379" s="762"/>
      <c r="H379" s="762" t="s">
        <v>12</v>
      </c>
      <c r="I379" s="762"/>
      <c r="J379" s="762" t="s">
        <v>62</v>
      </c>
      <c r="K379" s="770"/>
    </row>
    <row r="380" spans="1:18" ht="16.5" x14ac:dyDescent="0.2">
      <c r="A380" s="703"/>
      <c r="B380" s="704"/>
      <c r="C380" s="704"/>
      <c r="D380" s="704"/>
      <c r="E380" s="704"/>
      <c r="F380" s="516" t="s">
        <v>554</v>
      </c>
      <c r="G380" s="503" t="s">
        <v>553</v>
      </c>
      <c r="H380" s="502" t="s">
        <v>554</v>
      </c>
      <c r="I380" s="503" t="s">
        <v>553</v>
      </c>
      <c r="J380" s="502" t="s">
        <v>554</v>
      </c>
      <c r="K380" s="573" t="s">
        <v>553</v>
      </c>
      <c r="L380" s="999" t="s">
        <v>624</v>
      </c>
      <c r="M380" s="999"/>
      <c r="N380" s="999"/>
      <c r="O380" s="999"/>
      <c r="P380" s="999"/>
      <c r="Q380" s="999"/>
      <c r="R380" s="999"/>
    </row>
    <row r="381" spans="1:18" x14ac:dyDescent="0.2">
      <c r="A381" s="700" t="str">
        <f>'OTROS COSTES'!B6</f>
        <v>Informe de auditoria</v>
      </c>
      <c r="B381" s="700"/>
      <c r="C381" s="700"/>
      <c r="D381" s="700"/>
      <c r="E381" s="786"/>
      <c r="F381" s="672">
        <f>'OTROS COSTES'!C6</f>
        <v>1200</v>
      </c>
      <c r="G381" s="522">
        <f>'OTROS COSTES'!C6</f>
        <v>1200</v>
      </c>
      <c r="H381" s="669">
        <f>'OTROS COSTES'!D6</f>
        <v>1200</v>
      </c>
      <c r="I381" s="522">
        <f>'OTROS COSTES'!D6</f>
        <v>1200</v>
      </c>
      <c r="J381" s="518">
        <f>F381+H381</f>
        <v>2400</v>
      </c>
      <c r="K381" s="523">
        <f>'OTROS COSTES'!E6</f>
        <v>2400</v>
      </c>
      <c r="L381" s="780"/>
      <c r="M381" s="781"/>
      <c r="N381" s="781"/>
      <c r="O381" s="781"/>
      <c r="P381" s="781"/>
      <c r="Q381" s="781"/>
      <c r="R381" s="781"/>
    </row>
    <row r="382" spans="1:18" x14ac:dyDescent="0.2">
      <c r="A382" s="700">
        <f>'OTROS COSTES'!B7</f>
        <v>0</v>
      </c>
      <c r="B382" s="700"/>
      <c r="C382" s="700"/>
      <c r="D382" s="700"/>
      <c r="E382" s="786"/>
      <c r="F382" s="672">
        <f>'OTROS COSTES'!C7</f>
        <v>0</v>
      </c>
      <c r="G382" s="522">
        <f>'OTROS COSTES'!C7</f>
        <v>0</v>
      </c>
      <c r="H382" s="669">
        <f>'OTROS COSTES'!D7</f>
        <v>0</v>
      </c>
      <c r="I382" s="522">
        <f>'OTROS COSTES'!D7</f>
        <v>0</v>
      </c>
      <c r="J382" s="518">
        <f t="shared" ref="J382:J388" si="21">F382+H382</f>
        <v>0</v>
      </c>
      <c r="K382" s="523">
        <f>'OTROS COSTES'!E7</f>
        <v>0</v>
      </c>
      <c r="L382" s="780"/>
      <c r="M382" s="781"/>
      <c r="N382" s="781"/>
      <c r="O382" s="781"/>
      <c r="P382" s="781"/>
      <c r="Q382" s="781"/>
      <c r="R382" s="781"/>
    </row>
    <row r="383" spans="1:18" x14ac:dyDescent="0.2">
      <c r="A383" s="700">
        <f>'OTROS COSTES'!B8</f>
        <v>0</v>
      </c>
      <c r="B383" s="700"/>
      <c r="C383" s="700"/>
      <c r="D383" s="700"/>
      <c r="E383" s="786"/>
      <c r="F383" s="672">
        <f>'OTROS COSTES'!C8</f>
        <v>0</v>
      </c>
      <c r="G383" s="522">
        <f>'OTROS COSTES'!C8</f>
        <v>0</v>
      </c>
      <c r="H383" s="669">
        <f>'OTROS COSTES'!D8</f>
        <v>0</v>
      </c>
      <c r="I383" s="522">
        <f>'OTROS COSTES'!D8</f>
        <v>0</v>
      </c>
      <c r="J383" s="518">
        <f t="shared" si="21"/>
        <v>0</v>
      </c>
      <c r="K383" s="523">
        <f>'OTROS COSTES'!E8</f>
        <v>0</v>
      </c>
      <c r="L383" s="780"/>
      <c r="M383" s="781"/>
      <c r="N383" s="781"/>
      <c r="O383" s="781"/>
      <c r="P383" s="781"/>
      <c r="Q383" s="781"/>
      <c r="R383" s="781"/>
    </row>
    <row r="384" spans="1:18" x14ac:dyDescent="0.2">
      <c r="A384" s="700">
        <f>'OTROS COSTES'!B9</f>
        <v>0</v>
      </c>
      <c r="B384" s="700"/>
      <c r="C384" s="700"/>
      <c r="D384" s="700"/>
      <c r="E384" s="786"/>
      <c r="F384" s="672">
        <f>'OTROS COSTES'!C9</f>
        <v>0</v>
      </c>
      <c r="G384" s="522">
        <f>'OTROS COSTES'!C9</f>
        <v>0</v>
      </c>
      <c r="H384" s="669">
        <f>'OTROS COSTES'!D9</f>
        <v>0</v>
      </c>
      <c r="I384" s="522">
        <f>'OTROS COSTES'!D9</f>
        <v>0</v>
      </c>
      <c r="J384" s="518">
        <f t="shared" si="21"/>
        <v>0</v>
      </c>
      <c r="K384" s="523">
        <f>'OTROS COSTES'!E9</f>
        <v>0</v>
      </c>
      <c r="L384" s="780"/>
      <c r="M384" s="781"/>
      <c r="N384" s="781"/>
      <c r="O384" s="781"/>
      <c r="P384" s="781"/>
      <c r="Q384" s="781"/>
      <c r="R384" s="781"/>
    </row>
    <row r="385" spans="1:18" x14ac:dyDescent="0.2">
      <c r="A385" s="700">
        <f>'OTROS COSTES'!B10</f>
        <v>0</v>
      </c>
      <c r="B385" s="700"/>
      <c r="C385" s="700"/>
      <c r="D385" s="700"/>
      <c r="E385" s="786"/>
      <c r="F385" s="672">
        <f>'OTROS COSTES'!C10</f>
        <v>0</v>
      </c>
      <c r="G385" s="522">
        <f>'OTROS COSTES'!C10</f>
        <v>0</v>
      </c>
      <c r="H385" s="669">
        <f>'OTROS COSTES'!D10</f>
        <v>0</v>
      </c>
      <c r="I385" s="522">
        <f>'OTROS COSTES'!D10</f>
        <v>0</v>
      </c>
      <c r="J385" s="518">
        <f t="shared" si="21"/>
        <v>0</v>
      </c>
      <c r="K385" s="523">
        <f>'OTROS COSTES'!E10</f>
        <v>0</v>
      </c>
      <c r="L385" s="780"/>
      <c r="M385" s="781"/>
      <c r="N385" s="781"/>
      <c r="O385" s="781"/>
      <c r="P385" s="781"/>
      <c r="Q385" s="781"/>
      <c r="R385" s="781"/>
    </row>
    <row r="386" spans="1:18" x14ac:dyDescent="0.2">
      <c r="A386" s="700">
        <f>'OTROS COSTES'!B11</f>
        <v>0</v>
      </c>
      <c r="B386" s="700"/>
      <c r="C386" s="700"/>
      <c r="D386" s="700"/>
      <c r="E386" s="786"/>
      <c r="F386" s="672">
        <f>'OTROS COSTES'!C11</f>
        <v>0</v>
      </c>
      <c r="G386" s="522">
        <f>'OTROS COSTES'!C11</f>
        <v>0</v>
      </c>
      <c r="H386" s="669">
        <f>'OTROS COSTES'!D11</f>
        <v>0</v>
      </c>
      <c r="I386" s="522">
        <f>'OTROS COSTES'!D11</f>
        <v>0</v>
      </c>
      <c r="J386" s="518">
        <f t="shared" si="21"/>
        <v>0</v>
      </c>
      <c r="K386" s="523">
        <f>'OTROS COSTES'!E11</f>
        <v>0</v>
      </c>
      <c r="L386" s="780"/>
      <c r="M386" s="781"/>
      <c r="N386" s="781"/>
      <c r="O386" s="781"/>
      <c r="P386" s="781"/>
      <c r="Q386" s="781"/>
      <c r="R386" s="781"/>
    </row>
    <row r="387" spans="1:18" ht="17.25" thickBot="1" x14ac:dyDescent="0.25">
      <c r="A387" s="782" t="s">
        <v>60</v>
      </c>
      <c r="B387" s="783"/>
      <c r="C387" s="783"/>
      <c r="D387" s="783"/>
      <c r="E387" s="783"/>
      <c r="F387" s="519">
        <f>SUM(F381:F386)</f>
        <v>1200</v>
      </c>
      <c r="G387" s="524">
        <f>'OTROS COSTES'!C12</f>
        <v>1200</v>
      </c>
      <c r="H387" s="300">
        <f>SUM(H381:H386)</f>
        <v>1200</v>
      </c>
      <c r="I387" s="524">
        <f>'OTROS COSTES'!D12</f>
        <v>1200</v>
      </c>
      <c r="J387" s="300">
        <f t="shared" si="21"/>
        <v>2400</v>
      </c>
      <c r="K387" s="523">
        <f>'OTROS COSTES'!E12</f>
        <v>2400</v>
      </c>
      <c r="L387" s="780"/>
      <c r="M387" s="781"/>
      <c r="N387" s="781"/>
      <c r="O387" s="781"/>
      <c r="P387" s="781"/>
      <c r="Q387" s="781"/>
      <c r="R387" s="781"/>
    </row>
    <row r="388" spans="1:18" ht="13.5" customHeight="1" thickBot="1" x14ac:dyDescent="0.25">
      <c r="A388" s="784" t="s">
        <v>116</v>
      </c>
      <c r="B388" s="785"/>
      <c r="C388" s="785"/>
      <c r="D388" s="785"/>
      <c r="E388" s="785"/>
      <c r="F388" s="440">
        <f>IF($D$6="Organismo de Investigación",0.15*O253,0)</f>
        <v>0</v>
      </c>
      <c r="G388" s="524">
        <f>'OTROS COSTES'!C13</f>
        <v>0</v>
      </c>
      <c r="H388" s="520">
        <f>IF($D$6="Organismo de Investigación",0.15*P253,0)</f>
        <v>0</v>
      </c>
      <c r="I388" s="524">
        <f>'OTROS COSTES'!D13</f>
        <v>0</v>
      </c>
      <c r="J388" s="521">
        <f t="shared" si="21"/>
        <v>0</v>
      </c>
      <c r="K388" s="523">
        <f>'OTROS COSTES'!E13</f>
        <v>0</v>
      </c>
      <c r="L388" s="953"/>
      <c r="M388" s="954"/>
      <c r="N388" s="954"/>
      <c r="O388" s="954"/>
      <c r="P388" s="954"/>
      <c r="Q388" s="954"/>
      <c r="R388" s="954"/>
    </row>
    <row r="390" spans="1:18" ht="13.5" customHeight="1" x14ac:dyDescent="0.2">
      <c r="A390" s="427"/>
      <c r="B390" s="428" t="s">
        <v>590</v>
      </c>
      <c r="C390" s="427"/>
      <c r="D390" s="427"/>
      <c r="E390" s="427"/>
      <c r="F390" s="427"/>
      <c r="G390" s="427"/>
      <c r="H390" s="427"/>
      <c r="I390" s="426"/>
      <c r="J390" s="469"/>
      <c r="K390" s="469"/>
      <c r="L390" s="469"/>
      <c r="M390" s="469"/>
      <c r="N390" s="469"/>
      <c r="O390" s="469"/>
      <c r="P390" s="469"/>
      <c r="Q390" s="469"/>
      <c r="R390" s="469"/>
    </row>
    <row r="391" spans="1:18" ht="13.5" thickBot="1" x14ac:dyDescent="0.25"/>
    <row r="392" spans="1:18" ht="17.25" thickBot="1" x14ac:dyDescent="0.25">
      <c r="A392" s="750" t="s">
        <v>70</v>
      </c>
      <c r="B392" s="751"/>
      <c r="C392" s="752"/>
      <c r="D392" s="943" t="s">
        <v>11</v>
      </c>
      <c r="E392" s="943"/>
      <c r="F392" s="697" t="s">
        <v>12</v>
      </c>
      <c r="G392" s="698"/>
      <c r="H392" s="943" t="s">
        <v>65</v>
      </c>
      <c r="I392" s="698"/>
    </row>
    <row r="393" spans="1:18" ht="17.25" thickBot="1" x14ac:dyDescent="0.25">
      <c r="A393" s="944"/>
      <c r="B393" s="945"/>
      <c r="C393" s="946"/>
      <c r="D393" s="493" t="s">
        <v>553</v>
      </c>
      <c r="E393" s="317" t="s">
        <v>554</v>
      </c>
      <c r="F393" s="494" t="s">
        <v>553</v>
      </c>
      <c r="G393" s="476" t="s">
        <v>554</v>
      </c>
      <c r="H393" s="493" t="s">
        <v>553</v>
      </c>
      <c r="I393" s="476" t="s">
        <v>554</v>
      </c>
    </row>
    <row r="394" spans="1:18" ht="16.5" x14ac:dyDescent="0.2">
      <c r="A394" s="947" t="s">
        <v>55</v>
      </c>
      <c r="B394" s="948"/>
      <c r="C394" s="948"/>
      <c r="D394" s="487">
        <f>'PRESUPUESTO TOTAL'!D4</f>
        <v>0</v>
      </c>
      <c r="E394" s="297">
        <f>I144</f>
        <v>0</v>
      </c>
      <c r="F394" s="487">
        <f>'PRESUPUESTO TOTAL'!E4</f>
        <v>0</v>
      </c>
      <c r="G394" s="297">
        <f>M144</f>
        <v>0</v>
      </c>
      <c r="H394" s="487">
        <f>'PRESUPUESTO TOTAL'!F4</f>
        <v>0</v>
      </c>
      <c r="I394" s="478">
        <f>E394+G394</f>
        <v>0</v>
      </c>
    </row>
    <row r="395" spans="1:18" ht="16.5" x14ac:dyDescent="0.2">
      <c r="A395" s="949" t="s">
        <v>66</v>
      </c>
      <c r="B395" s="950"/>
      <c r="C395" s="950"/>
      <c r="D395" s="488">
        <f>'PRESUPUESTO TOTAL'!D5</f>
        <v>0</v>
      </c>
      <c r="E395" s="300">
        <f>O253</f>
        <v>0</v>
      </c>
      <c r="F395" s="488">
        <f>'PRESUPUESTO TOTAL'!E5</f>
        <v>0</v>
      </c>
      <c r="G395" s="300">
        <f>P253</f>
        <v>0</v>
      </c>
      <c r="H395" s="488">
        <f>'PRESUPUESTO TOTAL'!F5</f>
        <v>0</v>
      </c>
      <c r="I395" s="479">
        <f t="shared" ref="I395:I402" si="22">E395+G395</f>
        <v>0</v>
      </c>
    </row>
    <row r="396" spans="1:18" ht="16.5" x14ac:dyDescent="0.2">
      <c r="A396" s="949" t="s">
        <v>107</v>
      </c>
      <c r="B396" s="950"/>
      <c r="C396" s="950"/>
      <c r="D396" s="488">
        <f>'PRESUPUESTO TOTAL'!D6</f>
        <v>0</v>
      </c>
      <c r="E396" s="300">
        <f>E303</f>
        <v>0</v>
      </c>
      <c r="F396" s="488">
        <f>'PRESUPUESTO TOTAL'!E6</f>
        <v>0</v>
      </c>
      <c r="G396" s="300">
        <f>G303</f>
        <v>0</v>
      </c>
      <c r="H396" s="488">
        <f>'PRESUPUESTO TOTAL'!F6</f>
        <v>0</v>
      </c>
      <c r="I396" s="479">
        <f t="shared" si="22"/>
        <v>0</v>
      </c>
    </row>
    <row r="397" spans="1:18" ht="16.5" x14ac:dyDescent="0.2">
      <c r="A397" s="949" t="s">
        <v>67</v>
      </c>
      <c r="B397" s="950"/>
      <c r="C397" s="950"/>
      <c r="D397" s="488">
        <f>'PRESUPUESTO TOTAL'!D7</f>
        <v>0</v>
      </c>
      <c r="E397" s="300">
        <f>G353</f>
        <v>0</v>
      </c>
      <c r="F397" s="488">
        <f>'PRESUPUESTO TOTAL'!E7</f>
        <v>0</v>
      </c>
      <c r="G397" s="300">
        <f>I353</f>
        <v>0</v>
      </c>
      <c r="H397" s="488">
        <f>'PRESUPUESTO TOTAL'!F7</f>
        <v>0</v>
      </c>
      <c r="I397" s="479">
        <f t="shared" si="22"/>
        <v>0</v>
      </c>
    </row>
    <row r="398" spans="1:18" ht="16.5" x14ac:dyDescent="0.2">
      <c r="A398" s="924" t="s">
        <v>129</v>
      </c>
      <c r="B398" s="925"/>
      <c r="C398" s="925"/>
      <c r="D398" s="489">
        <f>'PRESUPUESTO TOTAL'!D8</f>
        <v>0</v>
      </c>
      <c r="E398" s="477">
        <f>G362</f>
        <v>0</v>
      </c>
      <c r="F398" s="489">
        <f>'PRESUPUESTO TOTAL'!E8</f>
        <v>0</v>
      </c>
      <c r="G398" s="477">
        <f>I362</f>
        <v>0</v>
      </c>
      <c r="H398" s="489">
        <f>'PRESUPUESTO TOTAL'!F8</f>
        <v>0</v>
      </c>
      <c r="I398" s="480">
        <f t="shared" si="22"/>
        <v>0</v>
      </c>
    </row>
    <row r="399" spans="1:18" ht="16.5" x14ac:dyDescent="0.2">
      <c r="A399" s="924" t="s">
        <v>130</v>
      </c>
      <c r="B399" s="925"/>
      <c r="C399" s="925"/>
      <c r="D399" s="489">
        <f>'PRESUPUESTO TOTAL'!D9</f>
        <v>0</v>
      </c>
      <c r="E399" s="477">
        <f>G357</f>
        <v>0</v>
      </c>
      <c r="F399" s="489">
        <f>'PRESUPUESTO TOTAL'!E9</f>
        <v>0</v>
      </c>
      <c r="G399" s="477">
        <f>I357</f>
        <v>0</v>
      </c>
      <c r="H399" s="489">
        <f>'PRESUPUESTO TOTAL'!F9</f>
        <v>0</v>
      </c>
      <c r="I399" s="480">
        <f t="shared" si="22"/>
        <v>0</v>
      </c>
    </row>
    <row r="400" spans="1:18" ht="17.25" thickBot="1" x14ac:dyDescent="0.25">
      <c r="A400" s="926" t="s">
        <v>110</v>
      </c>
      <c r="B400" s="927"/>
      <c r="C400" s="927"/>
      <c r="D400" s="490">
        <f>'PRESUPUESTO TOTAL'!D10</f>
        <v>1200</v>
      </c>
      <c r="E400" s="481">
        <f>F387</f>
        <v>1200</v>
      </c>
      <c r="F400" s="490">
        <f>'PRESUPUESTO TOTAL'!E10</f>
        <v>1200</v>
      </c>
      <c r="G400" s="481">
        <f>H387</f>
        <v>1200</v>
      </c>
      <c r="H400" s="490">
        <f>'PRESUPUESTO TOTAL'!F10</f>
        <v>2400</v>
      </c>
      <c r="I400" s="482">
        <f t="shared" si="22"/>
        <v>2400</v>
      </c>
    </row>
    <row r="401" spans="1:9" ht="17.25" thickBot="1" x14ac:dyDescent="0.25">
      <c r="A401" s="743" t="s">
        <v>68</v>
      </c>
      <c r="B401" s="744"/>
      <c r="C401" s="744"/>
      <c r="D401" s="491">
        <f>'PRESUPUESTO TOTAL'!D11</f>
        <v>0</v>
      </c>
      <c r="E401" s="485">
        <f>F388</f>
        <v>0</v>
      </c>
      <c r="F401" s="491">
        <f>'PRESUPUESTO TOTAL'!E11</f>
        <v>0</v>
      </c>
      <c r="G401" s="485">
        <f>H388</f>
        <v>0</v>
      </c>
      <c r="H401" s="491">
        <f>'PRESUPUESTO TOTAL'!F11</f>
        <v>0</v>
      </c>
      <c r="I401" s="486">
        <f t="shared" si="22"/>
        <v>0</v>
      </c>
    </row>
    <row r="402" spans="1:9" ht="17.25" thickBot="1" x14ac:dyDescent="0.25">
      <c r="A402" s="941" t="s">
        <v>60</v>
      </c>
      <c r="B402" s="942"/>
      <c r="C402" s="942"/>
      <c r="D402" s="492">
        <f>'PRESUPUESTO TOTAL'!D12</f>
        <v>1200</v>
      </c>
      <c r="E402" s="483">
        <f>SUM(E394,E395,E396,E397,E400,E401)</f>
        <v>1200</v>
      </c>
      <c r="F402" s="492">
        <f>'PRESUPUESTO TOTAL'!E12</f>
        <v>1200</v>
      </c>
      <c r="G402" s="483">
        <f>SUM(G394,G395,G396,G397,G400,G401)</f>
        <v>1200</v>
      </c>
      <c r="H402" s="492">
        <f>'PRESUPUESTO TOTAL'!F12</f>
        <v>2400</v>
      </c>
      <c r="I402" s="484">
        <f t="shared" si="22"/>
        <v>2400</v>
      </c>
    </row>
    <row r="403" spans="1:9" ht="13.5" thickBot="1" x14ac:dyDescent="0.25"/>
    <row r="404" spans="1:9" ht="17.25" customHeight="1" thickBot="1" x14ac:dyDescent="0.25">
      <c r="A404" s="743" t="s">
        <v>604</v>
      </c>
      <c r="B404" s="744"/>
      <c r="C404" s="744"/>
      <c r="D404" s="564"/>
      <c r="E404" s="634">
        <f>ROUND(E402*$J$19,2)</f>
        <v>0</v>
      </c>
      <c r="F404" s="564"/>
      <c r="G404" s="634">
        <f>I404-E404</f>
        <v>0</v>
      </c>
      <c r="H404" s="564"/>
      <c r="I404" s="634">
        <f>ROUND(I402*$J$19,2)</f>
        <v>0</v>
      </c>
    </row>
    <row r="405" spans="1:9" ht="13.5" thickBot="1" x14ac:dyDescent="0.25">
      <c r="A405" s="399"/>
    </row>
    <row r="406" spans="1:9" ht="17.25" thickBot="1" x14ac:dyDescent="0.25">
      <c r="A406" s="743" t="s">
        <v>605</v>
      </c>
      <c r="B406" s="744"/>
      <c r="C406" s="744"/>
      <c r="D406" s="564"/>
      <c r="E406" s="634">
        <f>IF($I$404&lt;=200000,E404,E404*$D$408)</f>
        <v>0</v>
      </c>
      <c r="F406" s="564"/>
      <c r="G406" s="634">
        <f>I406-E406</f>
        <v>0</v>
      </c>
      <c r="H406" s="564"/>
      <c r="I406" s="634">
        <f>IF($I$404&lt;=200000,I404,I404*$D$408)</f>
        <v>0</v>
      </c>
    </row>
    <row r="407" spans="1:9" ht="13.5" thickBot="1" x14ac:dyDescent="0.25"/>
    <row r="408" spans="1:9" ht="13.5" customHeight="1" thickBot="1" x14ac:dyDescent="0.25">
      <c r="B408" s="697" t="s">
        <v>591</v>
      </c>
      <c r="C408" s="698"/>
      <c r="D408" s="635">
        <f>IFERROR(IF(OR($D$6=$U$9,$D$6=$U$10,$D$6=$U$11),200000/$I$402,1),1)</f>
        <v>1</v>
      </c>
    </row>
    <row r="410" spans="1:9" x14ac:dyDescent="0.2">
      <c r="A410" s="426"/>
      <c r="B410" s="428" t="s">
        <v>594</v>
      </c>
      <c r="C410" s="426"/>
      <c r="D410" s="426"/>
      <c r="E410" s="426"/>
      <c r="F410" s="426"/>
      <c r="G410" s="426"/>
      <c r="H410" s="426"/>
      <c r="I410" s="426"/>
    </row>
    <row r="411" spans="1:9" ht="13.5" thickBot="1" x14ac:dyDescent="0.25"/>
    <row r="412" spans="1:9" ht="17.25" thickBot="1" x14ac:dyDescent="0.25">
      <c r="A412" s="743" t="s">
        <v>603</v>
      </c>
      <c r="B412" s="744"/>
      <c r="C412" s="744"/>
      <c r="D412" s="564"/>
      <c r="E412" s="634">
        <f>E406*$D$415</f>
        <v>0</v>
      </c>
      <c r="F412" s="564"/>
      <c r="G412" s="634">
        <f>I412-E412</f>
        <v>0</v>
      </c>
      <c r="H412" s="564"/>
      <c r="I412" s="634">
        <f>I406*$D$415</f>
        <v>0</v>
      </c>
    </row>
    <row r="413" spans="1:9" ht="13.5" thickBot="1" x14ac:dyDescent="0.25"/>
    <row r="414" spans="1:9" ht="17.25" customHeight="1" thickBot="1" x14ac:dyDescent="0.25">
      <c r="B414" s="697" t="s">
        <v>595</v>
      </c>
      <c r="C414" s="698"/>
      <c r="D414" s="636">
        <f>$T$98</f>
        <v>0</v>
      </c>
    </row>
    <row r="415" spans="1:9" ht="17.25" thickBot="1" x14ac:dyDescent="0.25">
      <c r="B415" s="697" t="s">
        <v>591</v>
      </c>
      <c r="C415" s="698"/>
      <c r="D415" s="635">
        <f>IFERROR(IF($D$414&gt;500000,500000/$D$414,1),1)</f>
        <v>1</v>
      </c>
    </row>
    <row r="416" spans="1:9" ht="13.5" thickBot="1" x14ac:dyDescent="0.25"/>
    <row r="417" spans="1:9" ht="13.5" thickBot="1" x14ac:dyDescent="0.25">
      <c r="A417" s="678" t="s">
        <v>733</v>
      </c>
      <c r="B417" s="679"/>
      <c r="C417" s="679"/>
      <c r="D417" s="679"/>
      <c r="E417" s="679"/>
      <c r="F417" s="679"/>
      <c r="G417" s="679"/>
      <c r="H417" s="679"/>
      <c r="I417" s="680"/>
    </row>
    <row r="419" spans="1:9" x14ac:dyDescent="0.2">
      <c r="A419" s="426"/>
      <c r="B419" s="428" t="s">
        <v>734</v>
      </c>
      <c r="C419" s="426"/>
      <c r="D419" s="426"/>
      <c r="E419" s="426"/>
      <c r="F419" s="426"/>
      <c r="G419" s="426"/>
      <c r="H419" s="426"/>
      <c r="I419" s="426"/>
    </row>
  </sheetData>
  <sheetProtection password="DD66" sheet="1"/>
  <mergeCells count="779">
    <mergeCell ref="B91:Q91"/>
    <mergeCell ref="L383:R383"/>
    <mergeCell ref="L384:R384"/>
    <mergeCell ref="L385:R385"/>
    <mergeCell ref="L386:R386"/>
    <mergeCell ref="L387:R387"/>
    <mergeCell ref="P342:V342"/>
    <mergeCell ref="P343:V343"/>
    <mergeCell ref="P344:V344"/>
    <mergeCell ref="P345:V345"/>
    <mergeCell ref="P350:V350"/>
    <mergeCell ref="P351:V351"/>
    <mergeCell ref="P352:V352"/>
    <mergeCell ref="L380:R380"/>
    <mergeCell ref="A368:L377"/>
    <mergeCell ref="K355:L355"/>
    <mergeCell ref="E362:F362"/>
    <mergeCell ref="P346:V346"/>
    <mergeCell ref="P347:V347"/>
    <mergeCell ref="P336:V336"/>
    <mergeCell ref="P337:V337"/>
    <mergeCell ref="P338:V338"/>
    <mergeCell ref="P339:V339"/>
    <mergeCell ref="P340:V340"/>
    <mergeCell ref="P341:V341"/>
    <mergeCell ref="P330:V330"/>
    <mergeCell ref="P331:V331"/>
    <mergeCell ref="P332:V332"/>
    <mergeCell ref="P333:V333"/>
    <mergeCell ref="P334:V334"/>
    <mergeCell ref="P335:V335"/>
    <mergeCell ref="P324:V324"/>
    <mergeCell ref="P325:V325"/>
    <mergeCell ref="P326:V326"/>
    <mergeCell ref="P327:V327"/>
    <mergeCell ref="P328:V328"/>
    <mergeCell ref="P329:V329"/>
    <mergeCell ref="N299:T299"/>
    <mergeCell ref="N300:T300"/>
    <mergeCell ref="N301:T301"/>
    <mergeCell ref="N302:T302"/>
    <mergeCell ref="P322:V322"/>
    <mergeCell ref="P323:V323"/>
    <mergeCell ref="N293:T293"/>
    <mergeCell ref="N294:T294"/>
    <mergeCell ref="N295:T295"/>
    <mergeCell ref="N296:T296"/>
    <mergeCell ref="N297:T297"/>
    <mergeCell ref="N298:T298"/>
    <mergeCell ref="N321:O321"/>
    <mergeCell ref="N287:T287"/>
    <mergeCell ref="N288:T288"/>
    <mergeCell ref="N289:T289"/>
    <mergeCell ref="N290:T290"/>
    <mergeCell ref="N291:T291"/>
    <mergeCell ref="N292:T292"/>
    <mergeCell ref="N281:T281"/>
    <mergeCell ref="N282:T282"/>
    <mergeCell ref="N283:T283"/>
    <mergeCell ref="N284:T284"/>
    <mergeCell ref="N285:T285"/>
    <mergeCell ref="N286:T286"/>
    <mergeCell ref="V252:AB252"/>
    <mergeCell ref="N276:T276"/>
    <mergeCell ref="N277:T277"/>
    <mergeCell ref="N278:T278"/>
    <mergeCell ref="N279:T279"/>
    <mergeCell ref="N280:T280"/>
    <mergeCell ref="V246:AB246"/>
    <mergeCell ref="V247:AB247"/>
    <mergeCell ref="V248:AB248"/>
    <mergeCell ref="V249:AB249"/>
    <mergeCell ref="V250:AB250"/>
    <mergeCell ref="V251:AB251"/>
    <mergeCell ref="V240:AB240"/>
    <mergeCell ref="V241:AB241"/>
    <mergeCell ref="V242:AB242"/>
    <mergeCell ref="V243:AB243"/>
    <mergeCell ref="V244:AB244"/>
    <mergeCell ref="V245:AB245"/>
    <mergeCell ref="V234:AB234"/>
    <mergeCell ref="V235:AB235"/>
    <mergeCell ref="V236:AB236"/>
    <mergeCell ref="V237:AB237"/>
    <mergeCell ref="V238:AB238"/>
    <mergeCell ref="V239:AB239"/>
    <mergeCell ref="V228:AB228"/>
    <mergeCell ref="V229:AB229"/>
    <mergeCell ref="V230:AB230"/>
    <mergeCell ref="V231:AB231"/>
    <mergeCell ref="V232:AB232"/>
    <mergeCell ref="V233:AB233"/>
    <mergeCell ref="V222:AB222"/>
    <mergeCell ref="V223:AB223"/>
    <mergeCell ref="V224:AB224"/>
    <mergeCell ref="V225:AB225"/>
    <mergeCell ref="V226:AB226"/>
    <mergeCell ref="V227:AB227"/>
    <mergeCell ref="V216:AB216"/>
    <mergeCell ref="V217:AB217"/>
    <mergeCell ref="V218:AB218"/>
    <mergeCell ref="V219:AB219"/>
    <mergeCell ref="V220:AB220"/>
    <mergeCell ref="V221:AB221"/>
    <mergeCell ref="V210:AB210"/>
    <mergeCell ref="V211:AB211"/>
    <mergeCell ref="V212:AB212"/>
    <mergeCell ref="V213:AB213"/>
    <mergeCell ref="V214:AB214"/>
    <mergeCell ref="V215:AB215"/>
    <mergeCell ref="V204:AB204"/>
    <mergeCell ref="V205:AB205"/>
    <mergeCell ref="V206:AB206"/>
    <mergeCell ref="V207:AB207"/>
    <mergeCell ref="V208:AB208"/>
    <mergeCell ref="V209:AB209"/>
    <mergeCell ref="V198:AB198"/>
    <mergeCell ref="V199:AB199"/>
    <mergeCell ref="V200:AB200"/>
    <mergeCell ref="V201:AB201"/>
    <mergeCell ref="V202:AB202"/>
    <mergeCell ref="V203:AB203"/>
    <mergeCell ref="V192:AB192"/>
    <mergeCell ref="V193:AB193"/>
    <mergeCell ref="V194:AB194"/>
    <mergeCell ref="V195:AB195"/>
    <mergeCell ref="V196:AB196"/>
    <mergeCell ref="V197:AB197"/>
    <mergeCell ref="V186:AB186"/>
    <mergeCell ref="V187:AB187"/>
    <mergeCell ref="V188:AB188"/>
    <mergeCell ref="V189:AB189"/>
    <mergeCell ref="V190:AB190"/>
    <mergeCell ref="V191:AB191"/>
    <mergeCell ref="V180:AB180"/>
    <mergeCell ref="V181:AB181"/>
    <mergeCell ref="V182:AB182"/>
    <mergeCell ref="V183:AB183"/>
    <mergeCell ref="V184:AB184"/>
    <mergeCell ref="V185:AB185"/>
    <mergeCell ref="V174:AB174"/>
    <mergeCell ref="V175:AB175"/>
    <mergeCell ref="V176:AB176"/>
    <mergeCell ref="V177:AB177"/>
    <mergeCell ref="V178:AB178"/>
    <mergeCell ref="V179:AB179"/>
    <mergeCell ref="V168:AB168"/>
    <mergeCell ref="V169:AB169"/>
    <mergeCell ref="V170:AB170"/>
    <mergeCell ref="V171:AB171"/>
    <mergeCell ref="V172:AB172"/>
    <mergeCell ref="V173:AB173"/>
    <mergeCell ref="V163:AB163"/>
    <mergeCell ref="V164:AB164"/>
    <mergeCell ref="V165:AB165"/>
    <mergeCell ref="V166:AB166"/>
    <mergeCell ref="V167:AB167"/>
    <mergeCell ref="O139:U139"/>
    <mergeCell ref="O140:U140"/>
    <mergeCell ref="O141:U141"/>
    <mergeCell ref="O142:U142"/>
    <mergeCell ref="O143:U143"/>
    <mergeCell ref="O131:U131"/>
    <mergeCell ref="O132:U132"/>
    <mergeCell ref="O144:U144"/>
    <mergeCell ref="O133:U133"/>
    <mergeCell ref="O134:U134"/>
    <mergeCell ref="O135:U135"/>
    <mergeCell ref="O136:U136"/>
    <mergeCell ref="O137:U137"/>
    <mergeCell ref="O138:U138"/>
    <mergeCell ref="O126:U126"/>
    <mergeCell ref="O127:U127"/>
    <mergeCell ref="O128:U128"/>
    <mergeCell ref="O129:U129"/>
    <mergeCell ref="O130:U130"/>
    <mergeCell ref="B98:C98"/>
    <mergeCell ref="B99:C99"/>
    <mergeCell ref="O118:U118"/>
    <mergeCell ref="O119:U119"/>
    <mergeCell ref="O120:U120"/>
    <mergeCell ref="K117:N117"/>
    <mergeCell ref="A106:N115"/>
    <mergeCell ref="A117:C118"/>
    <mergeCell ref="D117:D118"/>
    <mergeCell ref="A119:C119"/>
    <mergeCell ref="A120:C120"/>
    <mergeCell ref="A121:C121"/>
    <mergeCell ref="A122:C122"/>
    <mergeCell ref="A123:C123"/>
    <mergeCell ref="A124:C124"/>
    <mergeCell ref="A125:C125"/>
    <mergeCell ref="A126:C126"/>
    <mergeCell ref="A127:C127"/>
    <mergeCell ref="I355:J355"/>
    <mergeCell ref="H392:I392"/>
    <mergeCell ref="F392:G392"/>
    <mergeCell ref="L31:O31"/>
    <mergeCell ref="O121:U121"/>
    <mergeCell ref="O122:U122"/>
    <mergeCell ref="O123:U123"/>
    <mergeCell ref="O124:U124"/>
    <mergeCell ref="G162:G163"/>
    <mergeCell ref="I162:J162"/>
    <mergeCell ref="D37:F37"/>
    <mergeCell ref="B64:E64"/>
    <mergeCell ref="B65:E65"/>
    <mergeCell ref="B68:E68"/>
    <mergeCell ref="B69:E69"/>
    <mergeCell ref="B70:E70"/>
    <mergeCell ref="B72:E72"/>
    <mergeCell ref="B73:E73"/>
    <mergeCell ref="B74:E74"/>
    <mergeCell ref="B75:E75"/>
    <mergeCell ref="B76:E76"/>
    <mergeCell ref="B77:E77"/>
    <mergeCell ref="B96:Q96"/>
    <mergeCell ref="O125:U125"/>
    <mergeCell ref="A396:C396"/>
    <mergeCell ref="A397:C397"/>
    <mergeCell ref="A398:C398"/>
    <mergeCell ref="H379:I379"/>
    <mergeCell ref="J379:K379"/>
    <mergeCell ref="I321:J321"/>
    <mergeCell ref="K321:L321"/>
    <mergeCell ref="L388:R388"/>
    <mergeCell ref="P348:V348"/>
    <mergeCell ref="P349:V349"/>
    <mergeCell ref="A324:D324"/>
    <mergeCell ref="A325:D325"/>
    <mergeCell ref="A335:D335"/>
    <mergeCell ref="A336:D336"/>
    <mergeCell ref="A339:D339"/>
    <mergeCell ref="A340:D340"/>
    <mergeCell ref="A341:D341"/>
    <mergeCell ref="A326:D326"/>
    <mergeCell ref="A333:D333"/>
    <mergeCell ref="A334:D334"/>
    <mergeCell ref="A328:D328"/>
    <mergeCell ref="A329:D329"/>
    <mergeCell ref="A332:D332"/>
    <mergeCell ref="A352:D352"/>
    <mergeCell ref="A167:B167"/>
    <mergeCell ref="A168:B168"/>
    <mergeCell ref="E117:E118"/>
    <mergeCell ref="F117:F118"/>
    <mergeCell ref="G117:J117"/>
    <mergeCell ref="A402:C402"/>
    <mergeCell ref="D392:E392"/>
    <mergeCell ref="A392:C393"/>
    <mergeCell ref="A394:C394"/>
    <mergeCell ref="A395:C395"/>
    <mergeCell ref="A180:B180"/>
    <mergeCell ref="A181:B181"/>
    <mergeCell ref="A182:B182"/>
    <mergeCell ref="A170:B170"/>
    <mergeCell ref="A171:B171"/>
    <mergeCell ref="D170:E170"/>
    <mergeCell ref="D171:E171"/>
    <mergeCell ref="A174:B174"/>
    <mergeCell ref="A175:B175"/>
    <mergeCell ref="A176:B176"/>
    <mergeCell ref="A177:B177"/>
    <mergeCell ref="A178:B178"/>
    <mergeCell ref="D174:E174"/>
    <mergeCell ref="D175:E175"/>
    <mergeCell ref="A399:C399"/>
    <mergeCell ref="A400:C400"/>
    <mergeCell ref="A401:C401"/>
    <mergeCell ref="A172:B172"/>
    <mergeCell ref="A173:B173"/>
    <mergeCell ref="D172:E172"/>
    <mergeCell ref="D173:E173"/>
    <mergeCell ref="A179:B179"/>
    <mergeCell ref="A277:D277"/>
    <mergeCell ref="A330:D330"/>
    <mergeCell ref="A275:D276"/>
    <mergeCell ref="A264:M273"/>
    <mergeCell ref="A187:B187"/>
    <mergeCell ref="A188:B188"/>
    <mergeCell ref="A203:B203"/>
    <mergeCell ref="A204:B204"/>
    <mergeCell ref="A205:B205"/>
    <mergeCell ref="A206:B206"/>
    <mergeCell ref="A207:B207"/>
    <mergeCell ref="A208:B208"/>
    <mergeCell ref="A209:B209"/>
    <mergeCell ref="A210:B210"/>
    <mergeCell ref="A211:B211"/>
    <mergeCell ref="A212:B212"/>
    <mergeCell ref="A2:C2"/>
    <mergeCell ref="A3:C3"/>
    <mergeCell ref="A4:C4"/>
    <mergeCell ref="A6:C6"/>
    <mergeCell ref="A7:C7"/>
    <mergeCell ref="A13:C13"/>
    <mergeCell ref="A32:C32"/>
    <mergeCell ref="A25:C25"/>
    <mergeCell ref="A26:C26"/>
    <mergeCell ref="A27:C27"/>
    <mergeCell ref="A28:C28"/>
    <mergeCell ref="A29:C29"/>
    <mergeCell ref="A31:C31"/>
    <mergeCell ref="A30:C30"/>
    <mergeCell ref="A5:C5"/>
    <mergeCell ref="A15:C15"/>
    <mergeCell ref="A20:C20"/>
    <mergeCell ref="A21:C21"/>
    <mergeCell ref="A24:C24"/>
    <mergeCell ref="A8:C8"/>
    <mergeCell ref="A10:C10"/>
    <mergeCell ref="A11:C11"/>
    <mergeCell ref="A12:C12"/>
    <mergeCell ref="A14:C14"/>
    <mergeCell ref="B66:E66"/>
    <mergeCell ref="B67:E67"/>
    <mergeCell ref="H162:H163"/>
    <mergeCell ref="B71:E71"/>
    <mergeCell ref="F162:F163"/>
    <mergeCell ref="B93:Q93"/>
    <mergeCell ref="B95:D95"/>
    <mergeCell ref="K162:N162"/>
    <mergeCell ref="D45:F45"/>
    <mergeCell ref="D49:F49"/>
    <mergeCell ref="D50:F50"/>
    <mergeCell ref="G45:I45"/>
    <mergeCell ref="G46:I46"/>
    <mergeCell ref="G47:I47"/>
    <mergeCell ref="G48:I48"/>
    <mergeCell ref="E95:G95"/>
    <mergeCell ref="A49:C49"/>
    <mergeCell ref="G53:I53"/>
    <mergeCell ref="B56:E56"/>
    <mergeCell ref="D52:F52"/>
    <mergeCell ref="D53:F53"/>
    <mergeCell ref="D51:F51"/>
    <mergeCell ref="A50:C50"/>
    <mergeCell ref="A51:C51"/>
    <mergeCell ref="A40:C40"/>
    <mergeCell ref="A41:C41"/>
    <mergeCell ref="A42:C42"/>
    <mergeCell ref="A47:C47"/>
    <mergeCell ref="A48:C48"/>
    <mergeCell ref="A45:C45"/>
    <mergeCell ref="A46:C46"/>
    <mergeCell ref="D13:F13"/>
    <mergeCell ref="D38:F38"/>
    <mergeCell ref="D39:F39"/>
    <mergeCell ref="A44:C44"/>
    <mergeCell ref="D27:F27"/>
    <mergeCell ref="D28:F28"/>
    <mergeCell ref="A38:C38"/>
    <mergeCell ref="A39:C39"/>
    <mergeCell ref="D29:F29"/>
    <mergeCell ref="D30:F30"/>
    <mergeCell ref="D31:F31"/>
    <mergeCell ref="D32:F32"/>
    <mergeCell ref="D33:F33"/>
    <mergeCell ref="D44:F44"/>
    <mergeCell ref="D34:F34"/>
    <mergeCell ref="D35:F35"/>
    <mergeCell ref="D36:F36"/>
    <mergeCell ref="D2:F2"/>
    <mergeCell ref="D3:F3"/>
    <mergeCell ref="D4:F4"/>
    <mergeCell ref="D5:F5"/>
    <mergeCell ref="D6:F6"/>
    <mergeCell ref="A43:C43"/>
    <mergeCell ref="D7:F7"/>
    <mergeCell ref="D8:F8"/>
    <mergeCell ref="D9:F9"/>
    <mergeCell ref="D10:F10"/>
    <mergeCell ref="D11:F11"/>
    <mergeCell ref="D12:F12"/>
    <mergeCell ref="D14:F14"/>
    <mergeCell ref="D15:F15"/>
    <mergeCell ref="D20:F20"/>
    <mergeCell ref="D21:F21"/>
    <mergeCell ref="A34:C34"/>
    <mergeCell ref="A35:C35"/>
    <mergeCell ref="A36:C36"/>
    <mergeCell ref="A33:C33"/>
    <mergeCell ref="A37:C37"/>
    <mergeCell ref="D24:F24"/>
    <mergeCell ref="D25:F25"/>
    <mergeCell ref="D26:F26"/>
    <mergeCell ref="D46:F46"/>
    <mergeCell ref="D47:F47"/>
    <mergeCell ref="D48:F48"/>
    <mergeCell ref="D40:F40"/>
    <mergeCell ref="D41:F41"/>
    <mergeCell ref="D42:F42"/>
    <mergeCell ref="D43:F43"/>
    <mergeCell ref="G31:I31"/>
    <mergeCell ref="G32:I32"/>
    <mergeCell ref="G36:I36"/>
    <mergeCell ref="G37:I37"/>
    <mergeCell ref="G38:I38"/>
    <mergeCell ref="G39:I39"/>
    <mergeCell ref="G40:I40"/>
    <mergeCell ref="G41:I41"/>
    <mergeCell ref="G42:I42"/>
    <mergeCell ref="G43:I43"/>
    <mergeCell ref="G44:I44"/>
    <mergeCell ref="G24:I24"/>
    <mergeCell ref="G25:I25"/>
    <mergeCell ref="G26:I26"/>
    <mergeCell ref="G27:I27"/>
    <mergeCell ref="G28:I28"/>
    <mergeCell ref="G29:I29"/>
    <mergeCell ref="G33:I33"/>
    <mergeCell ref="G34:I34"/>
    <mergeCell ref="G35:I35"/>
    <mergeCell ref="G30:I30"/>
    <mergeCell ref="A52:C52"/>
    <mergeCell ref="A53:C53"/>
    <mergeCell ref="B57:E57"/>
    <mergeCell ref="B58:E58"/>
    <mergeCell ref="B59:E59"/>
    <mergeCell ref="B60:E60"/>
    <mergeCell ref="B61:E61"/>
    <mergeCell ref="B62:E62"/>
    <mergeCell ref="B63:E63"/>
    <mergeCell ref="A162:B163"/>
    <mergeCell ref="C162:C163"/>
    <mergeCell ref="D162:E163"/>
    <mergeCell ref="A165:B165"/>
    <mergeCell ref="A166:B166"/>
    <mergeCell ref="A185:B185"/>
    <mergeCell ref="A186:B186"/>
    <mergeCell ref="A164:B164"/>
    <mergeCell ref="A169:B169"/>
    <mergeCell ref="D169:E169"/>
    <mergeCell ref="A183:B183"/>
    <mergeCell ref="D177:E177"/>
    <mergeCell ref="D178:E178"/>
    <mergeCell ref="D179:E179"/>
    <mergeCell ref="D164:E164"/>
    <mergeCell ref="D165:E165"/>
    <mergeCell ref="D166:E166"/>
    <mergeCell ref="D167:E167"/>
    <mergeCell ref="D168:E168"/>
    <mergeCell ref="D176:E176"/>
    <mergeCell ref="D180:E180"/>
    <mergeCell ref="D181:E181"/>
    <mergeCell ref="D182:E182"/>
    <mergeCell ref="D183:E183"/>
    <mergeCell ref="A128:C128"/>
    <mergeCell ref="A129:C129"/>
    <mergeCell ref="A130:C130"/>
    <mergeCell ref="A141:C141"/>
    <mergeCell ref="A142:C142"/>
    <mergeCell ref="A131:C131"/>
    <mergeCell ref="A132:C132"/>
    <mergeCell ref="A133:C133"/>
    <mergeCell ref="A134:C134"/>
    <mergeCell ref="A135:C135"/>
    <mergeCell ref="A136:C136"/>
    <mergeCell ref="A143:C143"/>
    <mergeCell ref="A144:C144"/>
    <mergeCell ref="A327:D327"/>
    <mergeCell ref="A137:C137"/>
    <mergeCell ref="A138:C138"/>
    <mergeCell ref="A139:C139"/>
    <mergeCell ref="A140:C140"/>
    <mergeCell ref="A310:O319"/>
    <mergeCell ref="A321:D322"/>
    <mergeCell ref="A184:B184"/>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13:B213"/>
    <mergeCell ref="A214:B214"/>
    <mergeCell ref="A215:B215"/>
    <mergeCell ref="A216:B216"/>
    <mergeCell ref="A217:B217"/>
    <mergeCell ref="A218:B218"/>
    <mergeCell ref="A219:B219"/>
    <mergeCell ref="A220:B220"/>
    <mergeCell ref="A221:B221"/>
    <mergeCell ref="A242:B242"/>
    <mergeCell ref="A243:B243"/>
    <mergeCell ref="A244:B244"/>
    <mergeCell ref="A245:B245"/>
    <mergeCell ref="A222:B222"/>
    <mergeCell ref="A223:B223"/>
    <mergeCell ref="A224:B224"/>
    <mergeCell ref="A235:B235"/>
    <mergeCell ref="A236:B236"/>
    <mergeCell ref="A225:B225"/>
    <mergeCell ref="A226:B226"/>
    <mergeCell ref="A227:B227"/>
    <mergeCell ref="A228:B228"/>
    <mergeCell ref="A229:B229"/>
    <mergeCell ref="A230:B230"/>
    <mergeCell ref="A231:B231"/>
    <mergeCell ref="A232:B232"/>
    <mergeCell ref="A233:B233"/>
    <mergeCell ref="A234:B234"/>
    <mergeCell ref="D184:E184"/>
    <mergeCell ref="D185:E185"/>
    <mergeCell ref="D186:E186"/>
    <mergeCell ref="D187:E187"/>
    <mergeCell ref="D188:E188"/>
    <mergeCell ref="D189:E189"/>
    <mergeCell ref="D190:E190"/>
    <mergeCell ref="D191:E191"/>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D206:E206"/>
    <mergeCell ref="D207:E207"/>
    <mergeCell ref="D208:E208"/>
    <mergeCell ref="D209:E209"/>
    <mergeCell ref="D210:E210"/>
    <mergeCell ref="D211:E211"/>
    <mergeCell ref="D212:E212"/>
    <mergeCell ref="D213:E213"/>
    <mergeCell ref="D214:E214"/>
    <mergeCell ref="D215:E215"/>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 ref="D240:E240"/>
    <mergeCell ref="D241:E241"/>
    <mergeCell ref="D242:E242"/>
    <mergeCell ref="D243:E243"/>
    <mergeCell ref="D244:E244"/>
    <mergeCell ref="D245:E245"/>
    <mergeCell ref="A250:B250"/>
    <mergeCell ref="D229:E229"/>
    <mergeCell ref="D230:E230"/>
    <mergeCell ref="D231:E231"/>
    <mergeCell ref="D232:E232"/>
    <mergeCell ref="D233:E233"/>
    <mergeCell ref="D234:E234"/>
    <mergeCell ref="D235:E235"/>
    <mergeCell ref="D236:E236"/>
    <mergeCell ref="D237:E237"/>
    <mergeCell ref="A246:B246"/>
    <mergeCell ref="A247:B247"/>
    <mergeCell ref="A248:B248"/>
    <mergeCell ref="A237:B237"/>
    <mergeCell ref="A238:B238"/>
    <mergeCell ref="A239:B239"/>
    <mergeCell ref="A240:B240"/>
    <mergeCell ref="A241:B241"/>
    <mergeCell ref="A293:D293"/>
    <mergeCell ref="J69:M69"/>
    <mergeCell ref="J70:M70"/>
    <mergeCell ref="B86:Q86"/>
    <mergeCell ref="A279:D279"/>
    <mergeCell ref="A280:D280"/>
    <mergeCell ref="A281:D281"/>
    <mergeCell ref="A295:D295"/>
    <mergeCell ref="A284:D284"/>
    <mergeCell ref="A285:D285"/>
    <mergeCell ref="A286:D286"/>
    <mergeCell ref="L275:M275"/>
    <mergeCell ref="I257:K257"/>
    <mergeCell ref="A251:B251"/>
    <mergeCell ref="A252:B252"/>
    <mergeCell ref="D246:E246"/>
    <mergeCell ref="D247:E247"/>
    <mergeCell ref="D248:E248"/>
    <mergeCell ref="D249:E249"/>
    <mergeCell ref="D250:E250"/>
    <mergeCell ref="D251:E251"/>
    <mergeCell ref="A249:B249"/>
    <mergeCell ref="D238:E238"/>
    <mergeCell ref="D239:E239"/>
    <mergeCell ref="J56:M56"/>
    <mergeCell ref="J57:M57"/>
    <mergeCell ref="J58:M58"/>
    <mergeCell ref="J59:M59"/>
    <mergeCell ref="J60:M60"/>
    <mergeCell ref="J61:M61"/>
    <mergeCell ref="J66:M66"/>
    <mergeCell ref="J67:M67"/>
    <mergeCell ref="J68:M68"/>
    <mergeCell ref="J65:M65"/>
    <mergeCell ref="J72:M72"/>
    <mergeCell ref="J73:M73"/>
    <mergeCell ref="J62:M62"/>
    <mergeCell ref="J63:M63"/>
    <mergeCell ref="N65:Q65"/>
    <mergeCell ref="N66:Q66"/>
    <mergeCell ref="N67:Q67"/>
    <mergeCell ref="N68:Q68"/>
    <mergeCell ref="N69:Q69"/>
    <mergeCell ref="A323:D323"/>
    <mergeCell ref="N73:Q73"/>
    <mergeCell ref="N74:Q74"/>
    <mergeCell ref="N75:Q75"/>
    <mergeCell ref="N76:Q76"/>
    <mergeCell ref="N77:Q77"/>
    <mergeCell ref="J77:M77"/>
    <mergeCell ref="A302:D302"/>
    <mergeCell ref="A303:D303"/>
    <mergeCell ref="A296:D296"/>
    <mergeCell ref="B84:Q84"/>
    <mergeCell ref="B85:Q85"/>
    <mergeCell ref="B87:Q87"/>
    <mergeCell ref="A287:D287"/>
    <mergeCell ref="A288:D288"/>
    <mergeCell ref="A278:D278"/>
    <mergeCell ref="J75:M75"/>
    <mergeCell ref="J76:M76"/>
    <mergeCell ref="A289:D289"/>
    <mergeCell ref="A297:D297"/>
    <mergeCell ref="A298:D298"/>
    <mergeCell ref="A290:D290"/>
    <mergeCell ref="A291:D291"/>
    <mergeCell ref="A292:D292"/>
    <mergeCell ref="A300:D300"/>
    <mergeCell ref="A301:D301"/>
    <mergeCell ref="D252:E252"/>
    <mergeCell ref="I255:K255"/>
    <mergeCell ref="I256:K256"/>
    <mergeCell ref="A282:D282"/>
    <mergeCell ref="A283:D283"/>
    <mergeCell ref="A253:J253"/>
    <mergeCell ref="A351:D351"/>
    <mergeCell ref="A347:D347"/>
    <mergeCell ref="A348:D348"/>
    <mergeCell ref="A337:D337"/>
    <mergeCell ref="A338:D338"/>
    <mergeCell ref="A343:D343"/>
    <mergeCell ref="A349:D349"/>
    <mergeCell ref="A350:D350"/>
    <mergeCell ref="G275:H275"/>
    <mergeCell ref="E275:F275"/>
    <mergeCell ref="I275:J275"/>
    <mergeCell ref="A344:D344"/>
    <mergeCell ref="A342:D342"/>
    <mergeCell ref="A294:D294"/>
    <mergeCell ref="A299:D299"/>
    <mergeCell ref="A331:D331"/>
    <mergeCell ref="A384:E384"/>
    <mergeCell ref="A385:E385"/>
    <mergeCell ref="A386:E386"/>
    <mergeCell ref="A353:F353"/>
    <mergeCell ref="A355:D355"/>
    <mergeCell ref="A356:D356"/>
    <mergeCell ref="E358:F358"/>
    <mergeCell ref="E359:F359"/>
    <mergeCell ref="E360:F360"/>
    <mergeCell ref="E361:F361"/>
    <mergeCell ref="F379:G379"/>
    <mergeCell ref="A354:D354"/>
    <mergeCell ref="G355:H355"/>
    <mergeCell ref="L25:O25"/>
    <mergeCell ref="L26:O26"/>
    <mergeCell ref="L27:O27"/>
    <mergeCell ref="L28:O28"/>
    <mergeCell ref="L30:O30"/>
    <mergeCell ref="N40:P40"/>
    <mergeCell ref="N41:P41"/>
    <mergeCell ref="N34:P35"/>
    <mergeCell ref="O162:R162"/>
    <mergeCell ref="J74:M74"/>
    <mergeCell ref="N56:Q56"/>
    <mergeCell ref="N57:Q57"/>
    <mergeCell ref="N58:Q58"/>
    <mergeCell ref="N59:Q59"/>
    <mergeCell ref="N60:Q60"/>
    <mergeCell ref="N61:Q61"/>
    <mergeCell ref="N71:Q71"/>
    <mergeCell ref="N72:Q72"/>
    <mergeCell ref="N62:Q62"/>
    <mergeCell ref="N63:Q63"/>
    <mergeCell ref="N64:Q64"/>
    <mergeCell ref="N70:Q70"/>
    <mergeCell ref="J64:M64"/>
    <mergeCell ref="J71:M71"/>
    <mergeCell ref="O6:P6"/>
    <mergeCell ref="A406:C406"/>
    <mergeCell ref="A412:C412"/>
    <mergeCell ref="O52:Q52"/>
    <mergeCell ref="M51:N52"/>
    <mergeCell ref="A17:C17"/>
    <mergeCell ref="D17:F17"/>
    <mergeCell ref="A18:C18"/>
    <mergeCell ref="D18:F18"/>
    <mergeCell ref="G49:I49"/>
    <mergeCell ref="H6:J7"/>
    <mergeCell ref="H8:J8"/>
    <mergeCell ref="H9:J9"/>
    <mergeCell ref="H10:J10"/>
    <mergeCell ref="K6:L6"/>
    <mergeCell ref="M6:N6"/>
    <mergeCell ref="E321:E322"/>
    <mergeCell ref="H14:J14"/>
    <mergeCell ref="H15:J15"/>
    <mergeCell ref="H16:J16"/>
    <mergeCell ref="H11:J11"/>
    <mergeCell ref="H12:J12"/>
    <mergeCell ref="H13:J13"/>
    <mergeCell ref="F321:F322"/>
    <mergeCell ref="G321:H321"/>
    <mergeCell ref="E357:F357"/>
    <mergeCell ref="N94:O94"/>
    <mergeCell ref="N95:O95"/>
    <mergeCell ref="P94:Q94"/>
    <mergeCell ref="P95:Q95"/>
    <mergeCell ref="B415:C415"/>
    <mergeCell ref="L34:M35"/>
    <mergeCell ref="N36:P36"/>
    <mergeCell ref="N37:P37"/>
    <mergeCell ref="N38:P38"/>
    <mergeCell ref="N39:P39"/>
    <mergeCell ref="L36:M38"/>
    <mergeCell ref="L39:M41"/>
    <mergeCell ref="A404:C404"/>
    <mergeCell ref="G50:I50"/>
    <mergeCell ref="L381:R381"/>
    <mergeCell ref="L382:R382"/>
    <mergeCell ref="A387:E387"/>
    <mergeCell ref="A388:E388"/>
    <mergeCell ref="A379:E380"/>
    <mergeCell ref="A381:E381"/>
    <mergeCell ref="A382:E382"/>
    <mergeCell ref="A383:E383"/>
    <mergeCell ref="A417:I417"/>
    <mergeCell ref="H94:I94"/>
    <mergeCell ref="H95:I95"/>
    <mergeCell ref="J94:K94"/>
    <mergeCell ref="J95:K95"/>
    <mergeCell ref="L94:M94"/>
    <mergeCell ref="A16:C16"/>
    <mergeCell ref="D16:E16"/>
    <mergeCell ref="Q34:S34"/>
    <mergeCell ref="H17:J17"/>
    <mergeCell ref="M48:M50"/>
    <mergeCell ref="B414:C414"/>
    <mergeCell ref="B408:C408"/>
    <mergeCell ref="G51:I51"/>
    <mergeCell ref="G52:I52"/>
    <mergeCell ref="A357:D362"/>
    <mergeCell ref="L95:M95"/>
    <mergeCell ref="N376:O376"/>
    <mergeCell ref="N377:O377"/>
    <mergeCell ref="N378:O378"/>
    <mergeCell ref="A151:U160"/>
    <mergeCell ref="B92:Q92"/>
    <mergeCell ref="A345:D345"/>
    <mergeCell ref="A346:D346"/>
  </mergeCells>
  <conditionalFormatting sqref="P24">
    <cfRule type="cellIs" dxfId="24" priority="39" stopIfTrue="1" operator="equal">
      <formula>$U$4</formula>
    </cfRule>
    <cfRule type="cellIs" dxfId="23" priority="40" stopIfTrue="1" operator="equal">
      <formula>$U$3</formula>
    </cfRule>
  </conditionalFormatting>
  <conditionalFormatting sqref="P25:P30">
    <cfRule type="cellIs" dxfId="22" priority="37" stopIfTrue="1" operator="equal">
      <formula>$U$4</formula>
    </cfRule>
    <cfRule type="cellIs" dxfId="21" priority="38" stopIfTrue="1" operator="equal">
      <formula>$U$3</formula>
    </cfRule>
  </conditionalFormatting>
  <conditionalFormatting sqref="D4">
    <cfRule type="cellIs" dxfId="20" priority="35" stopIfTrue="1" operator="equal">
      <formula>$U$4</formula>
    </cfRule>
    <cfRule type="cellIs" dxfId="19" priority="36" stopIfTrue="1" operator="equal">
      <formula>$U$3</formula>
    </cfRule>
  </conditionalFormatting>
  <conditionalFormatting sqref="D8:D9 D11">
    <cfRule type="cellIs" dxfId="18" priority="27" stopIfTrue="1" operator="equal">
      <formula>$U$4</formula>
    </cfRule>
    <cfRule type="cellIs" dxfId="17" priority="28" stopIfTrue="1" operator="equal">
      <formula>$U$3</formula>
    </cfRule>
  </conditionalFormatting>
  <conditionalFormatting sqref="D8:F9 D11:F11">
    <cfRule type="cellIs" dxfId="16" priority="26" stopIfTrue="1" operator="equal">
      <formula>$U$5</formula>
    </cfRule>
  </conditionalFormatting>
  <conditionalFormatting sqref="D10">
    <cfRule type="cellIs" dxfId="15" priority="24" stopIfTrue="1" operator="equal">
      <formula>$U$4</formula>
    </cfRule>
    <cfRule type="cellIs" dxfId="14" priority="25" stopIfTrue="1" operator="equal">
      <formula>$U$3</formula>
    </cfRule>
  </conditionalFormatting>
  <conditionalFormatting sqref="D10:F10">
    <cfRule type="cellIs" dxfId="13" priority="23" stopIfTrue="1" operator="equal">
      <formula>$U$5</formula>
    </cfRule>
  </conditionalFormatting>
  <conditionalFormatting sqref="B81:G81">
    <cfRule type="expression" dxfId="12" priority="16">
      <formula>$B$81="EL PROYECTO ESTÁ APROBADO"</formula>
    </cfRule>
  </conditionalFormatting>
  <conditionalFormatting sqref="K2">
    <cfRule type="cellIs" dxfId="11" priority="13" stopIfTrue="1" operator="equal">
      <formula>"SI"</formula>
    </cfRule>
    <cfRule type="cellIs" dxfId="10" priority="14" stopIfTrue="1" operator="equal">
      <formula>"NO"</formula>
    </cfRule>
  </conditionalFormatting>
  <conditionalFormatting sqref="B79:K79">
    <cfRule type="expression" dxfId="9" priority="11" stopIfTrue="1">
      <formula>$B$81="EL PROYECTO ESTÁ APROBADO"</formula>
    </cfRule>
  </conditionalFormatting>
  <conditionalFormatting sqref="D15">
    <cfRule type="cellIs" dxfId="8" priority="9" stopIfTrue="1" operator="equal">
      <formula>$U$4</formula>
    </cfRule>
    <cfRule type="cellIs" dxfId="7" priority="10" stopIfTrue="1" operator="equal">
      <formula>$U$3</formula>
    </cfRule>
  </conditionalFormatting>
  <conditionalFormatting sqref="L2:P2">
    <cfRule type="expression" dxfId="6" priority="8" stopIfTrue="1">
      <formula>$L$2="Decidir art. 7 b de la OF por cuentas de OI no separadas"</formula>
    </cfRule>
  </conditionalFormatting>
  <conditionalFormatting sqref="P31">
    <cfRule type="cellIs" dxfId="5" priority="6" stopIfTrue="1" operator="equal">
      <formula>$U$4</formula>
    </cfRule>
    <cfRule type="cellIs" dxfId="4" priority="7" stopIfTrue="1" operator="equal">
      <formula>$U$3</formula>
    </cfRule>
  </conditionalFormatting>
  <conditionalFormatting sqref="I81:P81">
    <cfRule type="expression" dxfId="3" priority="2" stopIfTrue="1">
      <formula>$I$81="LA CALIFICACIÓN ES DEFINITIVA POR SER PROYECTO INDIVIDUAL"</formula>
    </cfRule>
    <cfRule type="expression" dxfId="2" priority="3" stopIfTrue="1">
      <formula>$I$81="PARA LA CALIFICACIÓN DEFINITIVA INTRODUCIR LOS SOCIOS A, B… D desde Datos/Editar vínculos"</formula>
    </cfRule>
  </conditionalFormatting>
  <conditionalFormatting sqref="G14">
    <cfRule type="cellIs" dxfId="1" priority="1" stopIfTrue="1" operator="equal">
      <formula>"VER GUÍA"</formula>
    </cfRule>
  </conditionalFormatting>
  <dataValidations count="14">
    <dataValidation type="list" allowBlank="1" showInputMessage="1" showErrorMessage="1" sqref="D8:D11" xr:uid="{00000000-0002-0000-0100-000000000000}">
      <formula1>$U$3:$U$5</formula1>
    </dataValidation>
    <dataValidation type="list" allowBlank="1" showInputMessage="1" showErrorMessage="1" sqref="E95" xr:uid="{00000000-0002-0000-0100-000001000000}">
      <formula1>$U$33:$U$45</formula1>
    </dataValidation>
    <dataValidation type="list" allowBlank="1" showInputMessage="1" showErrorMessage="1" sqref="D4 P25:P31" xr:uid="{00000000-0002-0000-0100-000002000000}">
      <formula1>$U$3:$U$4</formula1>
    </dataValidation>
    <dataValidation type="list" allowBlank="1" showInputMessage="1" showErrorMessage="1" sqref="D6" xr:uid="{00000000-0002-0000-0100-000003000000}">
      <formula1>$U$8:$U$11</formula1>
    </dataValidation>
    <dataValidation type="list" allowBlank="1" showInputMessage="1" showErrorMessage="1" sqref="D13" xr:uid="{00000000-0002-0000-0100-000004000000}">
      <formula1>$U$19:$U$23</formula1>
    </dataValidation>
    <dataValidation type="decimal" operator="greaterThanOrEqual" allowBlank="1" showInputMessage="1" showErrorMessage="1" error="No puede ser superior a 40 €/hora" sqref="I164:J252" xr:uid="{00000000-0002-0000-0100-000005000000}">
      <formula1>10</formula1>
    </dataValidation>
    <dataValidation type="list" allowBlank="1" showInputMessage="1" showErrorMessage="1" sqref="D7:F7" xr:uid="{00000000-0002-0000-0100-000006000000}">
      <formula1>$U$14:$U$16</formula1>
    </dataValidation>
    <dataValidation type="list" allowBlank="1" showInputMessage="1" showErrorMessage="1" sqref="G31:I31 D17:F17" xr:uid="{00000000-0002-0000-0100-000007000000}">
      <formula1>$X$3:$X$9</formula1>
    </dataValidation>
    <dataValidation type="list" allowBlank="1" showInputMessage="1" showErrorMessage="1" sqref="G33:I33 D18:F18" xr:uid="{00000000-0002-0000-0100-000008000000}">
      <formula1>$X$12:$X$15</formula1>
    </dataValidation>
    <dataValidation type="list" allowBlank="1" showInputMessage="1" showErrorMessage="1" sqref="G35:I35" xr:uid="{00000000-0002-0000-0100-000009000000}">
      <formula1>$X$18:$X$29</formula1>
    </dataValidation>
    <dataValidation type="list" allowBlank="1" showInputMessage="1" showErrorMessage="1" sqref="G50" xr:uid="{00000000-0002-0000-0100-00000A000000}">
      <formula1>$AA$3:$AA$5</formula1>
    </dataValidation>
    <dataValidation type="list" allowBlank="1" showInputMessage="1" showErrorMessage="1" sqref="G52" xr:uid="{00000000-0002-0000-0100-00000B000000}">
      <formula1>$AA$8:$AA$10</formula1>
    </dataValidation>
    <dataValidation type="list" allowBlank="1" showInputMessage="1" showErrorMessage="1" sqref="D98:D99" xr:uid="{00000000-0002-0000-0100-00000C000000}">
      <formula1>$AB$13:$AB$21</formula1>
    </dataValidation>
    <dataValidation type="list" allowBlank="1" showInputMessage="1" showErrorMessage="1" sqref="D14:F14" xr:uid="{00000000-0002-0000-0100-00000D000000}">
      <formula1>$U$26:$U$30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Y106"/>
  <sheetViews>
    <sheetView showGridLines="0" topLeftCell="A10" zoomScaleNormal="100" workbookViewId="0">
      <selection activeCell="F22" sqref="F22"/>
    </sheetView>
  </sheetViews>
  <sheetFormatPr baseColWidth="10" defaultColWidth="0" defaultRowHeight="12.75" zeroHeight="1" x14ac:dyDescent="0.2"/>
  <cols>
    <col min="1" max="2" width="5.85546875" style="70" customWidth="1"/>
    <col min="3" max="3" width="3.28515625" style="70" customWidth="1"/>
    <col min="4" max="4" width="9.85546875" style="70" customWidth="1"/>
    <col min="5" max="7" width="12.7109375" style="70" customWidth="1"/>
    <col min="8" max="10" width="9.85546875" style="70" customWidth="1"/>
    <col min="11" max="13" width="7.7109375" style="70" customWidth="1"/>
    <col min="14" max="14" width="1.7109375" style="70" customWidth="1"/>
    <col min="15" max="15" width="0" style="70" hidden="1" customWidth="1"/>
    <col min="16" max="16" width="18.140625" style="70" hidden="1" customWidth="1"/>
    <col min="17" max="21" width="0" style="70" hidden="1" customWidth="1"/>
    <col min="22" max="22" width="20.85546875" style="70" hidden="1" customWidth="1"/>
    <col min="23" max="24" width="0" style="70" hidden="1" customWidth="1"/>
    <col min="25" max="25" width="23" style="70" hidden="1" customWidth="1"/>
    <col min="26" max="16384" width="0" style="70" hidden="1"/>
  </cols>
  <sheetData>
    <row r="1" spans="1:25" s="149" customFormat="1" ht="13.5" thickBot="1" x14ac:dyDescent="0.25">
      <c r="A1" s="128"/>
      <c r="B1" s="128"/>
      <c r="C1" s="128"/>
      <c r="D1" s="128"/>
      <c r="E1" s="128"/>
      <c r="F1" s="128"/>
      <c r="G1" s="128"/>
      <c r="H1" s="128"/>
      <c r="I1" s="128"/>
      <c r="J1" s="128"/>
      <c r="K1" s="128"/>
      <c r="L1" s="128"/>
      <c r="M1" s="128"/>
    </row>
    <row r="2" spans="1:25" s="149" customFormat="1" ht="27.95" customHeight="1" thickBot="1" x14ac:dyDescent="0.25">
      <c r="A2" s="1018" t="s">
        <v>46</v>
      </c>
      <c r="B2" s="1019"/>
      <c r="C2" s="1019"/>
      <c r="D2" s="1019"/>
      <c r="E2" s="1019"/>
      <c r="F2" s="1019"/>
      <c r="G2" s="628"/>
      <c r="H2" s="1020" t="s">
        <v>385</v>
      </c>
      <c r="I2" s="1020"/>
      <c r="J2" s="1020"/>
      <c r="K2" s="1020"/>
      <c r="L2" s="1016">
        <v>2021</v>
      </c>
      <c r="M2" s="1017"/>
    </row>
    <row r="3" spans="1:25" s="149" customFormat="1" ht="27.95" customHeight="1" thickBot="1" x14ac:dyDescent="0.25">
      <c r="A3" s="1004" t="s">
        <v>47</v>
      </c>
      <c r="B3" s="1005"/>
      <c r="C3" s="1005"/>
      <c r="D3" s="1005"/>
      <c r="E3" s="1006"/>
      <c r="F3" s="1007" t="s">
        <v>207</v>
      </c>
      <c r="G3" s="1008"/>
      <c r="H3" s="1008"/>
      <c r="I3" s="1008"/>
      <c r="J3" s="1008"/>
      <c r="K3" s="1008"/>
      <c r="L3" s="1008"/>
      <c r="M3" s="1009"/>
      <c r="P3" s="150" t="s">
        <v>230</v>
      </c>
      <c r="R3" s="150" t="s">
        <v>386</v>
      </c>
      <c r="U3" s="150" t="s">
        <v>232</v>
      </c>
      <c r="Y3" s="150" t="s">
        <v>379</v>
      </c>
    </row>
    <row r="4" spans="1:25" s="149" customFormat="1" ht="27.95" customHeight="1" x14ac:dyDescent="0.2">
      <c r="A4" s="1010" t="s">
        <v>48</v>
      </c>
      <c r="B4" s="1011"/>
      <c r="C4" s="1011"/>
      <c r="D4" s="1011"/>
      <c r="E4" s="1012"/>
      <c r="F4" s="1013" t="s">
        <v>737</v>
      </c>
      <c r="G4" s="1014"/>
      <c r="H4" s="1014"/>
      <c r="I4" s="1014"/>
      <c r="J4" s="1014"/>
      <c r="K4" s="1014"/>
      <c r="L4" s="1014"/>
      <c r="M4" s="1015"/>
      <c r="P4" s="146" t="s">
        <v>190</v>
      </c>
      <c r="R4" s="146">
        <v>2021</v>
      </c>
      <c r="U4" s="146">
        <v>0</v>
      </c>
      <c r="V4" s="146" t="s">
        <v>49</v>
      </c>
      <c r="Y4" s="387" t="s">
        <v>277</v>
      </c>
    </row>
    <row r="5" spans="1:25" s="149" customFormat="1" ht="27.95" customHeight="1" x14ac:dyDescent="0.2">
      <c r="A5" s="132" t="s">
        <v>22</v>
      </c>
      <c r="B5" s="1031"/>
      <c r="C5" s="1031"/>
      <c r="D5" s="1031"/>
      <c r="E5" s="133" t="s">
        <v>23</v>
      </c>
      <c r="F5" s="1021" t="s">
        <v>738</v>
      </c>
      <c r="G5" s="1022"/>
      <c r="H5" s="1023"/>
      <c r="I5" s="1024" t="s">
        <v>24</v>
      </c>
      <c r="J5" s="1025"/>
      <c r="K5" s="1021"/>
      <c r="L5" s="1022"/>
      <c r="M5" s="1026"/>
      <c r="P5" s="146" t="s">
        <v>207</v>
      </c>
      <c r="R5" s="146">
        <v>2022</v>
      </c>
      <c r="U5" s="146">
        <v>1</v>
      </c>
      <c r="V5" s="147" t="s">
        <v>208</v>
      </c>
      <c r="Y5" s="387" t="s">
        <v>278</v>
      </c>
    </row>
    <row r="6" spans="1:25" s="149" customFormat="1" ht="27.95" customHeight="1" x14ac:dyDescent="0.2">
      <c r="A6" s="1027" t="s">
        <v>25</v>
      </c>
      <c r="B6" s="1028"/>
      <c r="C6" s="1028"/>
      <c r="D6" s="133" t="s">
        <v>26</v>
      </c>
      <c r="E6" s="134" t="s">
        <v>233</v>
      </c>
      <c r="F6" s="133" t="s">
        <v>27</v>
      </c>
      <c r="G6" s="1021" t="s">
        <v>739</v>
      </c>
      <c r="H6" s="1022"/>
      <c r="I6" s="1022"/>
      <c r="J6" s="1022"/>
      <c r="K6" s="1023"/>
      <c r="L6" s="136" t="s">
        <v>36</v>
      </c>
      <c r="M6" s="135"/>
      <c r="R6" s="390">
        <v>2023</v>
      </c>
      <c r="U6" s="146">
        <v>2</v>
      </c>
      <c r="V6" s="147" t="s">
        <v>195</v>
      </c>
      <c r="Y6" s="387" t="s">
        <v>279</v>
      </c>
    </row>
    <row r="7" spans="1:25" s="149" customFormat="1" ht="27.95" customHeight="1" x14ac:dyDescent="0.2">
      <c r="A7" s="1027" t="s">
        <v>28</v>
      </c>
      <c r="B7" s="1028"/>
      <c r="C7" s="1028"/>
      <c r="D7" s="129">
        <v>31006</v>
      </c>
      <c r="E7" s="133" t="s">
        <v>29</v>
      </c>
      <c r="F7" s="1021" t="s">
        <v>740</v>
      </c>
      <c r="G7" s="1022"/>
      <c r="H7" s="1023"/>
      <c r="I7" s="133" t="s">
        <v>30</v>
      </c>
      <c r="J7" s="1024" t="str">
        <f>VLOOKUP(TRUNC(D7/1000),$U$4:$V$56,2,FALSE)</f>
        <v>NAVARRA</v>
      </c>
      <c r="K7" s="1029"/>
      <c r="L7" s="1029"/>
      <c r="M7" s="1030"/>
      <c r="R7" s="390">
        <v>2024</v>
      </c>
      <c r="U7" s="146">
        <v>3</v>
      </c>
      <c r="V7" s="147" t="s">
        <v>196</v>
      </c>
      <c r="Y7" s="387" t="s">
        <v>280</v>
      </c>
    </row>
    <row r="8" spans="1:25" s="149" customFormat="1" ht="27.95" customHeight="1" x14ac:dyDescent="0.2">
      <c r="A8" s="1027" t="s">
        <v>37</v>
      </c>
      <c r="B8" s="1028"/>
      <c r="C8" s="1032">
        <v>948169000</v>
      </c>
      <c r="D8" s="1032"/>
      <c r="E8" s="1032"/>
      <c r="F8" s="138" t="s">
        <v>31</v>
      </c>
      <c r="G8" s="1021" t="s">
        <v>741</v>
      </c>
      <c r="H8" s="1022"/>
      <c r="I8" s="1022"/>
      <c r="J8" s="1022"/>
      <c r="K8" s="1022"/>
      <c r="L8" s="1022"/>
      <c r="M8" s="1026"/>
      <c r="R8" s="390">
        <v>2025</v>
      </c>
      <c r="U8" s="146">
        <v>4</v>
      </c>
      <c r="V8" s="147" t="s">
        <v>209</v>
      </c>
      <c r="Y8" s="387" t="s">
        <v>281</v>
      </c>
    </row>
    <row r="9" spans="1:25" s="149" customFormat="1" ht="27.95" customHeight="1" thickBot="1" x14ac:dyDescent="0.25">
      <c r="A9" s="1033" t="s">
        <v>38</v>
      </c>
      <c r="B9" s="1034"/>
      <c r="C9" s="1035"/>
      <c r="D9" s="1035"/>
      <c r="E9" s="1035"/>
      <c r="F9" s="1036"/>
      <c r="G9" s="1037"/>
      <c r="H9" s="1037"/>
      <c r="I9" s="1037"/>
      <c r="J9" s="1037"/>
      <c r="K9" s="1037"/>
      <c r="L9" s="1037"/>
      <c r="M9" s="1038"/>
      <c r="U9" s="146">
        <v>5</v>
      </c>
      <c r="V9" s="147" t="s">
        <v>210</v>
      </c>
      <c r="Y9" s="387" t="s">
        <v>376</v>
      </c>
    </row>
    <row r="10" spans="1:25" s="149" customFormat="1" ht="27.95" customHeight="1" x14ac:dyDescent="0.2">
      <c r="A10" s="1039" t="s">
        <v>50</v>
      </c>
      <c r="B10" s="1040"/>
      <c r="C10" s="1040"/>
      <c r="D10" s="1041"/>
      <c r="E10" s="1042" t="s">
        <v>742</v>
      </c>
      <c r="F10" s="1042"/>
      <c r="G10" s="1042"/>
      <c r="H10" s="1042"/>
      <c r="I10" s="1042"/>
      <c r="J10" s="1042"/>
      <c r="K10" s="1042"/>
      <c r="L10" s="1042"/>
      <c r="M10" s="1043"/>
      <c r="U10" s="146">
        <v>6</v>
      </c>
      <c r="V10" s="147" t="s">
        <v>156</v>
      </c>
      <c r="Y10" s="387" t="s">
        <v>282</v>
      </c>
    </row>
    <row r="11" spans="1:25" s="149" customFormat="1" ht="39.950000000000003" customHeight="1" thickBot="1" x14ac:dyDescent="0.25">
      <c r="A11" s="1044" t="s">
        <v>52</v>
      </c>
      <c r="B11" s="1045"/>
      <c r="C11" s="1045"/>
      <c r="D11" s="1046"/>
      <c r="E11" s="386">
        <v>8542</v>
      </c>
      <c r="F11" s="1047" t="s">
        <v>53</v>
      </c>
      <c r="G11" s="1046"/>
      <c r="H11" s="1048"/>
      <c r="I11" s="1049"/>
      <c r="J11" s="1047" t="s">
        <v>32</v>
      </c>
      <c r="K11" s="1045"/>
      <c r="L11" s="1046"/>
      <c r="M11" s="140">
        <v>1987</v>
      </c>
      <c r="P11" s="150" t="s">
        <v>382</v>
      </c>
      <c r="U11" s="146">
        <v>7</v>
      </c>
      <c r="V11" s="147" t="s">
        <v>157</v>
      </c>
      <c r="Y11" s="387" t="s">
        <v>283</v>
      </c>
    </row>
    <row r="12" spans="1:25" s="149" customFormat="1" ht="27.95" customHeight="1" x14ac:dyDescent="0.2">
      <c r="A12" s="1010" t="s">
        <v>33</v>
      </c>
      <c r="B12" s="1011"/>
      <c r="C12" s="1011"/>
      <c r="D12" s="1011"/>
      <c r="E12" s="139" t="s">
        <v>0</v>
      </c>
      <c r="F12" s="1042" t="s">
        <v>743</v>
      </c>
      <c r="G12" s="1042"/>
      <c r="H12" s="1050" t="s">
        <v>1</v>
      </c>
      <c r="I12" s="1051"/>
      <c r="J12" s="1042" t="s">
        <v>747</v>
      </c>
      <c r="K12" s="1042"/>
      <c r="L12" s="1042"/>
      <c r="M12" s="1043"/>
      <c r="P12" s="17" t="s">
        <v>224</v>
      </c>
      <c r="Q12" s="70"/>
      <c r="R12" s="70"/>
      <c r="U12" s="146">
        <v>8</v>
      </c>
      <c r="V12" s="147" t="s">
        <v>158</v>
      </c>
      <c r="Y12" s="387" t="s">
        <v>284</v>
      </c>
    </row>
    <row r="13" spans="1:25" s="149" customFormat="1" ht="27.95" customHeight="1" x14ac:dyDescent="0.2">
      <c r="A13" s="1053" t="s">
        <v>2</v>
      </c>
      <c r="B13" s="1029"/>
      <c r="C13" s="1029"/>
      <c r="D13" s="1021" t="s">
        <v>746</v>
      </c>
      <c r="E13" s="1022"/>
      <c r="F13" s="1023"/>
      <c r="G13" s="133" t="s">
        <v>5</v>
      </c>
      <c r="H13" s="1022" t="s">
        <v>744</v>
      </c>
      <c r="I13" s="1022"/>
      <c r="J13" s="1022"/>
      <c r="K13" s="1022"/>
      <c r="L13" s="1022"/>
      <c r="M13" s="1026"/>
      <c r="P13" s="146">
        <f>B5</f>
        <v>0</v>
      </c>
      <c r="Q13" s="17" t="s">
        <v>228</v>
      </c>
      <c r="R13" s="70"/>
      <c r="U13" s="146">
        <v>9</v>
      </c>
      <c r="V13" s="147" t="s">
        <v>159</v>
      </c>
      <c r="Y13" s="387" t="s">
        <v>285</v>
      </c>
    </row>
    <row r="14" spans="1:25" s="149" customFormat="1" ht="27.95" customHeight="1" thickBot="1" x14ac:dyDescent="0.25">
      <c r="A14" s="1054" t="s">
        <v>3</v>
      </c>
      <c r="B14" s="1055"/>
      <c r="C14" s="1048">
        <v>948169293</v>
      </c>
      <c r="D14" s="1049"/>
      <c r="E14" s="1049"/>
      <c r="F14" s="1049"/>
      <c r="G14" s="1049"/>
      <c r="H14" s="1068"/>
      <c r="I14" s="138" t="s">
        <v>4</v>
      </c>
      <c r="J14" s="1048" t="s">
        <v>745</v>
      </c>
      <c r="K14" s="1049"/>
      <c r="L14" s="1049"/>
      <c r="M14" s="1052"/>
      <c r="P14" s="146" t="str">
        <f>IF(MID(P13,1,1)="X",IF(MID("TRWAGMYFPDXBNJZSQVHLCKE",1+MOD(MID(P13,2,7),23),1)=MID(P13,9,1),"OK","NO"),IF(MID(P13,1,1)="Y",IF(MID("TRWAGMYFPDXBNJZSQVHLCKE",1+MOD(MID(P13,2,7)+10000000,23),1)=MID(P13,9,1),"OK","NO"),IF(MID(P13,1,1)="Z",IF(MID("TRWAGMYFPDXBNJZSQVHLCKE",1+MOD(MID(P13,2,7)+20000000,23),1)=MID(P13,9,1),"OK","NO"),IF(OR(MID(P13,1,1)="0",MID(P13,1,1)="1",MID(P13,1,1)="2",MID(P13,1,1)="3",MID(P13,1,1)= "4",MID(P13,1,1)="5",MID(P13,1,1)="6",MID(P13,1,1)="7",MID(P13,1,1)="8",MID(P13,1,1)="9"),IF(MID("TRWAGMYFPDXBNJZSQVHLCKE",1+MOD(MID(P13,1,8),23),1)=MID(P13,9,1),"OK","NO"),"ERROR"))))</f>
        <v>NO</v>
      </c>
      <c r="Q14" s="17" t="s">
        <v>225</v>
      </c>
      <c r="R14" s="70"/>
      <c r="U14" s="146">
        <v>10</v>
      </c>
      <c r="V14" s="147" t="s">
        <v>211</v>
      </c>
      <c r="Y14" s="387" t="s">
        <v>286</v>
      </c>
    </row>
    <row r="15" spans="1:25" s="149" customFormat="1" ht="27.95" customHeight="1" thickBot="1" x14ac:dyDescent="0.25">
      <c r="A15" s="1062" t="s">
        <v>380</v>
      </c>
      <c r="B15" s="1063"/>
      <c r="C15" s="1063"/>
      <c r="D15" s="1078"/>
      <c r="E15" s="1079"/>
      <c r="F15" s="1080"/>
      <c r="G15" s="1063" t="s">
        <v>45</v>
      </c>
      <c r="H15" s="1063"/>
      <c r="I15" s="1069"/>
      <c r="J15" s="1069"/>
      <c r="K15" s="1069"/>
      <c r="L15" s="1060"/>
      <c r="M15" s="1061"/>
      <c r="P15" s="146" t="e">
        <f>SUM(MID(P13,3,1)+MID(P13,5,1)+MID(P13,7,1)+IF(2*MID(P13,2,1)&lt;10,2*MID(P13,2,1),TRUNC(2*MID(P13,2,1)/10)+ 2*MID(P13,2,1)-TRUNC(2*MID(P13,2,1)/10)*10)+IF(2*MID(P13,4,1)&lt;10,2*MID(P13,4,1),TRUNC(2*MID(P13,4,1)/10)+2*MID(P13,4,1)-TRUNC(2*MID(P13,4,1)/10)*10)+IF(2*MID(P13,6,1)&lt;10,2*MID(P13,6,1),TRUNC(2*MID(P13,6,1)/10)+2*MID(P13,6,1)-TRUNC(2*MID(P13,6,1)/10)*10)+IF(2*MID(P13,8,1)&lt;10,2*MID(P13,8,1),TRUNC(2*MID(P13,8,1)/10)+2*MID(P13,8,1)-TRUNC(2*MID(P13,8,1)/10)*10))</f>
        <v>#VALUE!</v>
      </c>
      <c r="Q15" s="17" t="s">
        <v>229</v>
      </c>
      <c r="R15" s="70"/>
      <c r="U15" s="146">
        <v>11</v>
      </c>
      <c r="V15" s="147" t="s">
        <v>212</v>
      </c>
      <c r="Y15" s="387" t="s">
        <v>287</v>
      </c>
    </row>
    <row r="16" spans="1:25" s="149" customFormat="1" ht="27.95" customHeight="1" x14ac:dyDescent="0.2">
      <c r="A16" s="1056" t="s">
        <v>51</v>
      </c>
      <c r="B16" s="1057"/>
      <c r="C16" s="1057"/>
      <c r="D16" s="1057"/>
      <c r="E16" s="1057"/>
      <c r="F16" s="1057"/>
      <c r="G16" s="1057"/>
      <c r="H16" s="1057"/>
      <c r="I16" s="1057"/>
      <c r="J16" s="1057"/>
      <c r="K16" s="1057"/>
      <c r="L16" s="1057"/>
      <c r="M16" s="1058"/>
      <c r="P16" s="146" t="e">
        <f>IF(OR(MID(P13,1,1)="A",MID(P13,1,1)="B",MID(P13,1,1)="E",MID(P13,1,1)="H"),IF(TEXT(IF(P15=0,0,10-(P15-TRUNC(P15/10)*10)),0)=MID(P13,9,1),"OK","NO"), IF(OR(MID(P13,1,1)="P",MID(P13,1,1)="Q",MID(P13,1,1)="S",MID(P13,1,1)="W"),IF(MID("ABCDEFGHIJ",IF(P15=0,0,10-(P15-TRUNC(P15/10)*10)),1)=MID(P13,9,1),"OK","NO"),IF(OR(TEXT(IF(P15=0,0,10-(P15-TRUNC(P15/10)*10)),0)=MID(P13,9,1),MID("ABCDEFGHIJ",IF(P15=0,0,10-(P15-TRUNC(P15/10)*10)),1)=MID(P13,9,1)),"OK","NO")))</f>
        <v>#VALUE!</v>
      </c>
      <c r="Q16" s="17" t="s">
        <v>226</v>
      </c>
      <c r="R16" s="70"/>
      <c r="U16" s="146">
        <v>12</v>
      </c>
      <c r="V16" s="147" t="s">
        <v>213</v>
      </c>
      <c r="Y16" s="387" t="s">
        <v>233</v>
      </c>
    </row>
    <row r="17" spans="1:25" s="149" customFormat="1" ht="27.95" customHeight="1" x14ac:dyDescent="0.2">
      <c r="A17" s="132" t="s">
        <v>26</v>
      </c>
      <c r="B17" s="1021"/>
      <c r="C17" s="1022"/>
      <c r="D17" s="1023"/>
      <c r="E17" s="133" t="s">
        <v>27</v>
      </c>
      <c r="F17" s="1022"/>
      <c r="G17" s="1022"/>
      <c r="H17" s="1022"/>
      <c r="I17" s="1022"/>
      <c r="J17" s="1022"/>
      <c r="K17" s="1022"/>
      <c r="L17" s="136" t="s">
        <v>36</v>
      </c>
      <c r="M17" s="135"/>
      <c r="P17" s="146" t="e">
        <f>IF(OR(P14="OK",P16="OK"),"OK","NO")</f>
        <v>#VALUE!</v>
      </c>
      <c r="Q17" s="17" t="s">
        <v>227</v>
      </c>
      <c r="R17" s="70"/>
      <c r="U17" s="146">
        <v>13</v>
      </c>
      <c r="V17" s="147" t="s">
        <v>160</v>
      </c>
      <c r="Y17" s="387" t="s">
        <v>288</v>
      </c>
    </row>
    <row r="18" spans="1:25" s="149" customFormat="1" ht="27.95" customHeight="1" x14ac:dyDescent="0.2">
      <c r="A18" s="1053" t="s">
        <v>28</v>
      </c>
      <c r="B18" s="1059"/>
      <c r="C18" s="1059"/>
      <c r="D18" s="137"/>
      <c r="E18" s="133" t="s">
        <v>29</v>
      </c>
      <c r="F18" s="1022"/>
      <c r="G18" s="1022"/>
      <c r="H18" s="1022"/>
      <c r="I18" s="133" t="s">
        <v>30</v>
      </c>
      <c r="J18" s="1024" t="str">
        <f>VLOOKUP(TRUNC(D18/1000),$U$4:$V$56,2,FALSE)</f>
        <v>Introducir Código Postal</v>
      </c>
      <c r="K18" s="1029"/>
      <c r="L18" s="1029"/>
      <c r="M18" s="1030"/>
      <c r="P18" s="17"/>
      <c r="Q18" s="70"/>
      <c r="R18" s="70"/>
      <c r="U18" s="146">
        <v>14</v>
      </c>
      <c r="V18" s="147" t="s">
        <v>214</v>
      </c>
      <c r="Y18" s="387" t="s">
        <v>289</v>
      </c>
    </row>
    <row r="19" spans="1:25" s="149" customFormat="1" ht="27.95" customHeight="1" x14ac:dyDescent="0.2">
      <c r="A19" s="1075" t="s">
        <v>41</v>
      </c>
      <c r="B19" s="1076"/>
      <c r="C19" s="1076"/>
      <c r="D19" s="1076"/>
      <c r="E19" s="1076"/>
      <c r="F19" s="1076"/>
      <c r="G19" s="1076"/>
      <c r="H19" s="1076"/>
      <c r="I19" s="1076"/>
      <c r="J19" s="1076"/>
      <c r="K19" s="1076"/>
      <c r="L19" s="1076"/>
      <c r="M19" s="1077"/>
      <c r="P19" s="17"/>
      <c r="Q19" s="70"/>
      <c r="R19" s="70"/>
      <c r="U19" s="148">
        <v>15</v>
      </c>
      <c r="V19" s="147" t="s">
        <v>215</v>
      </c>
      <c r="Y19" s="387" t="s">
        <v>290</v>
      </c>
    </row>
    <row r="20" spans="1:25" s="149" customFormat="1" ht="27.95" customHeight="1" x14ac:dyDescent="0.2">
      <c r="A20" s="1070" t="s">
        <v>34</v>
      </c>
      <c r="B20" s="1071"/>
      <c r="C20" s="1071"/>
      <c r="D20" s="1072"/>
      <c r="E20" s="626">
        <f>$L$2-3</f>
        <v>2018</v>
      </c>
      <c r="F20" s="627">
        <f>$L$2-2</f>
        <v>2019</v>
      </c>
      <c r="G20" s="627">
        <f>$L$2-1</f>
        <v>2020</v>
      </c>
      <c r="H20" s="19"/>
      <c r="I20" s="19"/>
      <c r="J20" s="19"/>
      <c r="K20" s="19"/>
      <c r="L20" s="19"/>
      <c r="M20" s="20"/>
      <c r="P20" s="150" t="s">
        <v>231</v>
      </c>
      <c r="Q20" s="70"/>
      <c r="R20" s="70"/>
      <c r="U20" s="146">
        <v>16</v>
      </c>
      <c r="V20" s="147" t="s">
        <v>161</v>
      </c>
      <c r="Y20" s="387" t="s">
        <v>291</v>
      </c>
    </row>
    <row r="21" spans="1:25" s="149" customFormat="1" ht="27.95" customHeight="1" x14ac:dyDescent="0.2">
      <c r="A21" s="1027" t="s">
        <v>35</v>
      </c>
      <c r="B21" s="1028"/>
      <c r="C21" s="1028"/>
      <c r="D21" s="1028"/>
      <c r="E21" s="379">
        <v>1122.8</v>
      </c>
      <c r="F21" s="380">
        <v>1153</v>
      </c>
      <c r="G21" s="379"/>
      <c r="H21" s="21"/>
      <c r="I21" s="1066" t="s">
        <v>44</v>
      </c>
      <c r="J21" s="1066"/>
      <c r="K21" s="1067" t="s">
        <v>204</v>
      </c>
      <c r="L21" s="1067"/>
      <c r="M21" s="130"/>
      <c r="P21" s="146" t="s">
        <v>204</v>
      </c>
      <c r="Q21" s="70"/>
      <c r="R21" s="70"/>
      <c r="U21" s="146">
        <v>17</v>
      </c>
      <c r="V21" s="147" t="s">
        <v>162</v>
      </c>
      <c r="Y21" s="387" t="s">
        <v>292</v>
      </c>
    </row>
    <row r="22" spans="1:25" s="149" customFormat="1" ht="27.95" customHeight="1" x14ac:dyDescent="0.2">
      <c r="A22" s="1054" t="s">
        <v>39</v>
      </c>
      <c r="B22" s="1055"/>
      <c r="C22" s="1055"/>
      <c r="D22" s="1073"/>
      <c r="E22" s="141"/>
      <c r="F22" s="142"/>
      <c r="G22" s="143"/>
      <c r="H22" s="21"/>
      <c r="I22" s="19"/>
      <c r="J22" s="19"/>
      <c r="K22" s="19"/>
      <c r="L22" s="22"/>
      <c r="M22" s="130"/>
      <c r="P22" s="146" t="s">
        <v>203</v>
      </c>
      <c r="Q22" s="70"/>
      <c r="R22" s="70"/>
      <c r="U22" s="146">
        <v>18</v>
      </c>
      <c r="V22" s="147" t="s">
        <v>163</v>
      </c>
      <c r="Y22" s="387" t="s">
        <v>293</v>
      </c>
    </row>
    <row r="23" spans="1:25" s="149" customFormat="1" ht="27.95" customHeight="1" thickBot="1" x14ac:dyDescent="0.25">
      <c r="A23" s="1074" t="s">
        <v>40</v>
      </c>
      <c r="B23" s="1045"/>
      <c r="C23" s="1045"/>
      <c r="D23" s="1046"/>
      <c r="E23" s="144"/>
      <c r="F23" s="145"/>
      <c r="G23" s="144"/>
      <c r="H23" s="23"/>
      <c r="I23" s="24"/>
      <c r="J23" s="24"/>
      <c r="K23" s="24"/>
      <c r="L23" s="25"/>
      <c r="M23" s="131"/>
      <c r="P23" s="146" t="s">
        <v>205</v>
      </c>
      <c r="Q23" s="70"/>
      <c r="R23" s="70"/>
      <c r="U23" s="146">
        <v>19</v>
      </c>
      <c r="V23" s="147" t="s">
        <v>164</v>
      </c>
      <c r="Y23" s="387" t="s">
        <v>294</v>
      </c>
    </row>
    <row r="24" spans="1:25" ht="15.75" x14ac:dyDescent="0.25">
      <c r="A24" s="26"/>
      <c r="B24" s="27"/>
      <c r="C24" s="27"/>
      <c r="D24" s="27"/>
      <c r="E24" s="27"/>
      <c r="F24" s="28"/>
      <c r="G24" s="27"/>
      <c r="H24" s="27"/>
      <c r="I24" s="27"/>
      <c r="J24" s="27"/>
      <c r="K24" s="27"/>
      <c r="L24" s="27"/>
      <c r="M24" s="27"/>
      <c r="P24" s="146" t="s">
        <v>206</v>
      </c>
      <c r="U24" s="146">
        <v>20</v>
      </c>
      <c r="V24" s="147" t="s">
        <v>216</v>
      </c>
      <c r="Y24" s="387" t="s">
        <v>295</v>
      </c>
    </row>
    <row r="25" spans="1:25" ht="15.75" x14ac:dyDescent="0.2">
      <c r="A25" s="29" t="s">
        <v>42</v>
      </c>
      <c r="B25" s="1065" t="s">
        <v>271</v>
      </c>
      <c r="C25" s="1065"/>
      <c r="D25" s="1065"/>
      <c r="E25" s="1065"/>
      <c r="F25" s="1065"/>
      <c r="G25" s="1065"/>
      <c r="H25" s="1065"/>
      <c r="I25" s="1065"/>
      <c r="J25" s="1065"/>
      <c r="K25" s="1065"/>
      <c r="L25" s="1065"/>
      <c r="M25" s="1065"/>
      <c r="U25" s="146">
        <v>21</v>
      </c>
      <c r="V25" s="147" t="s">
        <v>197</v>
      </c>
      <c r="Y25" s="387" t="s">
        <v>296</v>
      </c>
    </row>
    <row r="26" spans="1:25" ht="15.75" x14ac:dyDescent="0.2">
      <c r="A26" s="30"/>
      <c r="B26" s="1064"/>
      <c r="C26" s="1064"/>
      <c r="D26" s="1064"/>
      <c r="E26" s="1064"/>
      <c r="F26" s="1064"/>
      <c r="G26" s="1064"/>
      <c r="H26" s="1064"/>
      <c r="I26" s="1064"/>
      <c r="J26" s="1064"/>
      <c r="K26" s="1064"/>
      <c r="L26" s="1064"/>
      <c r="M26" s="1064"/>
      <c r="P26" s="17"/>
      <c r="Q26" s="17"/>
      <c r="U26" s="146">
        <v>22</v>
      </c>
      <c r="V26" s="147" t="s">
        <v>198</v>
      </c>
      <c r="Y26" s="387" t="s">
        <v>297</v>
      </c>
    </row>
    <row r="27" spans="1:25" ht="15.75" x14ac:dyDescent="0.2">
      <c r="A27" s="31" t="s">
        <v>43</v>
      </c>
      <c r="B27" s="1065" t="s">
        <v>381</v>
      </c>
      <c r="C27" s="1065"/>
      <c r="D27" s="1065"/>
      <c r="E27" s="1065"/>
      <c r="F27" s="1065"/>
      <c r="G27" s="1065"/>
      <c r="H27" s="1065"/>
      <c r="I27" s="1065"/>
      <c r="J27" s="1065"/>
      <c r="K27" s="1065"/>
      <c r="L27" s="1065"/>
      <c r="M27" s="1065"/>
      <c r="P27" s="17"/>
      <c r="Q27" s="17"/>
      <c r="U27" s="146">
        <v>23</v>
      </c>
      <c r="V27" s="147" t="s">
        <v>217</v>
      </c>
      <c r="Y27" s="387" t="s">
        <v>298</v>
      </c>
    </row>
    <row r="28" spans="1:25" ht="15.75" x14ac:dyDescent="0.2">
      <c r="P28" s="17"/>
      <c r="Q28" s="17"/>
      <c r="U28" s="146">
        <v>24</v>
      </c>
      <c r="V28" s="147" t="s">
        <v>218</v>
      </c>
      <c r="Y28" s="387" t="s">
        <v>299</v>
      </c>
    </row>
    <row r="29" spans="1:25" ht="15.75" hidden="1" x14ac:dyDescent="0.2">
      <c r="U29" s="146">
        <v>25</v>
      </c>
      <c r="V29" s="147" t="s">
        <v>219</v>
      </c>
      <c r="Y29" s="387" t="s">
        <v>377</v>
      </c>
    </row>
    <row r="30" spans="1:25" ht="15.75" hidden="1" x14ac:dyDescent="0.2">
      <c r="U30" s="146">
        <v>26</v>
      </c>
      <c r="V30" s="147" t="s">
        <v>199</v>
      </c>
      <c r="Y30" s="387" t="s">
        <v>300</v>
      </c>
    </row>
    <row r="31" spans="1:25" ht="15.75" hidden="1" x14ac:dyDescent="0.2">
      <c r="U31" s="146">
        <v>27</v>
      </c>
      <c r="V31" s="147" t="s">
        <v>165</v>
      </c>
      <c r="Y31" s="387" t="s">
        <v>301</v>
      </c>
    </row>
    <row r="32" spans="1:25" ht="15.75" hidden="1" x14ac:dyDescent="0.2">
      <c r="U32" s="146">
        <v>28</v>
      </c>
      <c r="V32" s="147" t="s">
        <v>166</v>
      </c>
      <c r="Y32" s="387" t="s">
        <v>302</v>
      </c>
    </row>
    <row r="33" spans="21:25" ht="15.75" hidden="1" x14ac:dyDescent="0.2">
      <c r="U33" s="146">
        <v>29</v>
      </c>
      <c r="V33" s="147" t="s">
        <v>220</v>
      </c>
      <c r="Y33" s="387" t="s">
        <v>303</v>
      </c>
    </row>
    <row r="34" spans="21:25" ht="15.75" hidden="1" x14ac:dyDescent="0.2">
      <c r="U34" s="146">
        <v>30</v>
      </c>
      <c r="V34" s="147" t="s">
        <v>167</v>
      </c>
      <c r="Y34" s="387" t="s">
        <v>378</v>
      </c>
    </row>
    <row r="35" spans="21:25" ht="15.75" hidden="1" x14ac:dyDescent="0.2">
      <c r="U35" s="146">
        <v>31</v>
      </c>
      <c r="V35" s="147" t="s">
        <v>168</v>
      </c>
      <c r="Y35" s="387" t="s">
        <v>304</v>
      </c>
    </row>
    <row r="36" spans="21:25" ht="15.75" hidden="1" x14ac:dyDescent="0.2">
      <c r="U36" s="146">
        <v>32</v>
      </c>
      <c r="V36" s="147" t="s">
        <v>221</v>
      </c>
      <c r="Y36" s="387" t="s">
        <v>305</v>
      </c>
    </row>
    <row r="37" spans="21:25" ht="15.75" hidden="1" x14ac:dyDescent="0.2">
      <c r="U37" s="146">
        <v>33</v>
      </c>
      <c r="V37" s="147" t="s">
        <v>169</v>
      </c>
      <c r="Y37" s="387" t="s">
        <v>306</v>
      </c>
    </row>
    <row r="38" spans="21:25" ht="15.75" hidden="1" x14ac:dyDescent="0.2">
      <c r="U38" s="146">
        <v>34</v>
      </c>
      <c r="V38" s="147" t="s">
        <v>200</v>
      </c>
      <c r="Y38" s="387" t="s">
        <v>307</v>
      </c>
    </row>
    <row r="39" spans="21:25" ht="15.75" hidden="1" x14ac:dyDescent="0.2">
      <c r="U39" s="146">
        <v>35</v>
      </c>
      <c r="V39" s="147" t="s">
        <v>222</v>
      </c>
      <c r="Y39" s="387" t="s">
        <v>308</v>
      </c>
    </row>
    <row r="40" spans="21:25" ht="15.75" hidden="1" x14ac:dyDescent="0.2">
      <c r="U40" s="146">
        <v>36</v>
      </c>
      <c r="V40" s="147" t="s">
        <v>201</v>
      </c>
      <c r="Y40" s="387" t="s">
        <v>309</v>
      </c>
    </row>
    <row r="41" spans="21:25" ht="15.75" hidden="1" x14ac:dyDescent="0.2">
      <c r="U41" s="146">
        <v>37</v>
      </c>
      <c r="V41" s="147" t="s">
        <v>202</v>
      </c>
      <c r="Y41" s="387" t="s">
        <v>310</v>
      </c>
    </row>
    <row r="42" spans="21:25" ht="15.75" hidden="1" x14ac:dyDescent="0.2">
      <c r="U42" s="146">
        <v>38</v>
      </c>
      <c r="V42" s="147" t="s">
        <v>223</v>
      </c>
      <c r="Y42" s="387" t="s">
        <v>311</v>
      </c>
    </row>
    <row r="43" spans="21:25" ht="15.75" hidden="1" x14ac:dyDescent="0.2">
      <c r="U43" s="146">
        <v>39</v>
      </c>
      <c r="V43" s="147" t="s">
        <v>170</v>
      </c>
      <c r="Y43" s="387" t="s">
        <v>312</v>
      </c>
    </row>
    <row r="44" spans="21:25" ht="15.75" hidden="1" x14ac:dyDescent="0.2">
      <c r="U44" s="146">
        <v>40</v>
      </c>
      <c r="V44" s="147" t="s">
        <v>171</v>
      </c>
      <c r="Y44" s="387" t="s">
        <v>313</v>
      </c>
    </row>
    <row r="45" spans="21:25" ht="15.75" hidden="1" x14ac:dyDescent="0.2">
      <c r="U45" s="146">
        <v>41</v>
      </c>
      <c r="V45" s="147" t="s">
        <v>172</v>
      </c>
      <c r="Y45" s="387" t="s">
        <v>314</v>
      </c>
    </row>
    <row r="46" spans="21:25" ht="15.75" hidden="1" x14ac:dyDescent="0.2">
      <c r="U46" s="146">
        <v>42</v>
      </c>
      <c r="V46" s="147" t="s">
        <v>173</v>
      </c>
      <c r="Y46" s="387" t="s">
        <v>315</v>
      </c>
    </row>
    <row r="47" spans="21:25" ht="15.75" hidden="1" x14ac:dyDescent="0.2">
      <c r="U47" s="146">
        <v>43</v>
      </c>
      <c r="V47" s="147" t="s">
        <v>174</v>
      </c>
      <c r="Y47" s="387" t="s">
        <v>316</v>
      </c>
    </row>
    <row r="48" spans="21:25" ht="15.75" hidden="1" x14ac:dyDescent="0.2">
      <c r="U48" s="146">
        <v>44</v>
      </c>
      <c r="V48" s="147" t="s">
        <v>175</v>
      </c>
      <c r="Y48" s="387" t="s">
        <v>317</v>
      </c>
    </row>
    <row r="49" spans="21:25" ht="15.75" hidden="1" x14ac:dyDescent="0.2">
      <c r="U49" s="146">
        <v>45</v>
      </c>
      <c r="V49" s="147" t="s">
        <v>176</v>
      </c>
      <c r="Y49" s="387" t="s">
        <v>318</v>
      </c>
    </row>
    <row r="50" spans="21:25" ht="15.75" hidden="1" x14ac:dyDescent="0.2">
      <c r="U50" s="146">
        <v>46</v>
      </c>
      <c r="V50" s="147" t="s">
        <v>177</v>
      </c>
      <c r="Y50" s="387" t="s">
        <v>319</v>
      </c>
    </row>
    <row r="51" spans="21:25" ht="15.75" hidden="1" x14ac:dyDescent="0.2">
      <c r="U51" s="146">
        <v>47</v>
      </c>
      <c r="V51" s="147" t="s">
        <v>178</v>
      </c>
      <c r="Y51" s="387" t="s">
        <v>320</v>
      </c>
    </row>
    <row r="52" spans="21:25" ht="15.75" hidden="1" x14ac:dyDescent="0.2">
      <c r="U52" s="146">
        <v>48</v>
      </c>
      <c r="V52" s="147" t="s">
        <v>179</v>
      </c>
      <c r="Y52" s="387" t="s">
        <v>321</v>
      </c>
    </row>
    <row r="53" spans="21:25" ht="15.75" hidden="1" x14ac:dyDescent="0.2">
      <c r="U53" s="146">
        <v>49</v>
      </c>
      <c r="V53" s="147" t="s">
        <v>180</v>
      </c>
      <c r="Y53" s="387" t="s">
        <v>322</v>
      </c>
    </row>
    <row r="54" spans="21:25" ht="15.75" hidden="1" x14ac:dyDescent="0.2">
      <c r="U54" s="146">
        <v>50</v>
      </c>
      <c r="V54" s="147" t="s">
        <v>181</v>
      </c>
      <c r="Y54" s="387" t="s">
        <v>323</v>
      </c>
    </row>
    <row r="55" spans="21:25" ht="15.75" hidden="1" x14ac:dyDescent="0.2">
      <c r="U55" s="146">
        <v>51</v>
      </c>
      <c r="V55" s="147" t="s">
        <v>182</v>
      </c>
      <c r="Y55" s="387" t="s">
        <v>324</v>
      </c>
    </row>
    <row r="56" spans="21:25" ht="15.75" hidden="1" x14ac:dyDescent="0.2">
      <c r="U56" s="146">
        <v>52</v>
      </c>
      <c r="V56" s="147" t="s">
        <v>183</v>
      </c>
      <c r="Y56" s="387" t="s">
        <v>325</v>
      </c>
    </row>
    <row r="57" spans="21:25" ht="15.75" hidden="1" x14ac:dyDescent="0.2">
      <c r="Y57" s="387" t="s">
        <v>326</v>
      </c>
    </row>
    <row r="58" spans="21:25" ht="15.75" hidden="1" x14ac:dyDescent="0.2">
      <c r="Y58" s="387" t="s">
        <v>327</v>
      </c>
    </row>
    <row r="59" spans="21:25" ht="15.75" hidden="1" x14ac:dyDescent="0.2">
      <c r="Y59" s="387" t="s">
        <v>328</v>
      </c>
    </row>
    <row r="60" spans="21:25" ht="15.75" hidden="1" x14ac:dyDescent="0.2">
      <c r="Y60" s="387" t="s">
        <v>329</v>
      </c>
    </row>
    <row r="61" spans="21:25" ht="15.75" hidden="1" x14ac:dyDescent="0.2">
      <c r="Y61" s="387" t="s">
        <v>330</v>
      </c>
    </row>
    <row r="62" spans="21:25" ht="15.75" hidden="1" x14ac:dyDescent="0.2">
      <c r="Y62" s="387" t="s">
        <v>331</v>
      </c>
    </row>
    <row r="63" spans="21:25" ht="15.75" hidden="1" x14ac:dyDescent="0.2">
      <c r="Y63" s="387" t="s">
        <v>332</v>
      </c>
    </row>
    <row r="64" spans="21:25" ht="15.75" hidden="1" x14ac:dyDescent="0.2">
      <c r="Y64" s="387" t="s">
        <v>333</v>
      </c>
    </row>
    <row r="65" spans="25:25" ht="15.75" hidden="1" x14ac:dyDescent="0.2">
      <c r="Y65" s="387" t="s">
        <v>334</v>
      </c>
    </row>
    <row r="66" spans="25:25" ht="15.75" hidden="1" x14ac:dyDescent="0.2">
      <c r="Y66" s="387" t="s">
        <v>335</v>
      </c>
    </row>
    <row r="67" spans="25:25" ht="15.75" hidden="1" x14ac:dyDescent="0.2">
      <c r="Y67" s="387" t="s">
        <v>336</v>
      </c>
    </row>
    <row r="68" spans="25:25" ht="15.75" hidden="1" x14ac:dyDescent="0.2">
      <c r="Y68" s="387" t="s">
        <v>337</v>
      </c>
    </row>
    <row r="69" spans="25:25" ht="15.75" hidden="1" x14ac:dyDescent="0.2">
      <c r="Y69" s="387" t="s">
        <v>338</v>
      </c>
    </row>
    <row r="70" spans="25:25" ht="15.75" hidden="1" x14ac:dyDescent="0.2">
      <c r="Y70" s="387" t="s">
        <v>339</v>
      </c>
    </row>
    <row r="71" spans="25:25" ht="15.75" hidden="1" x14ac:dyDescent="0.2">
      <c r="Y71" s="387" t="s">
        <v>340</v>
      </c>
    </row>
    <row r="72" spans="25:25" ht="15.75" hidden="1" x14ac:dyDescent="0.2">
      <c r="Y72" s="387" t="s">
        <v>341</v>
      </c>
    </row>
    <row r="73" spans="25:25" ht="15.75" hidden="1" x14ac:dyDescent="0.2">
      <c r="Y73" s="387" t="s">
        <v>342</v>
      </c>
    </row>
    <row r="74" spans="25:25" ht="15.75" hidden="1" x14ac:dyDescent="0.2">
      <c r="Y74" s="387" t="s">
        <v>343</v>
      </c>
    </row>
    <row r="75" spans="25:25" ht="15.75" hidden="1" x14ac:dyDescent="0.2">
      <c r="Y75" s="387" t="s">
        <v>344</v>
      </c>
    </row>
    <row r="76" spans="25:25" ht="15.75" hidden="1" x14ac:dyDescent="0.2">
      <c r="Y76" s="387" t="s">
        <v>345</v>
      </c>
    </row>
    <row r="77" spans="25:25" ht="15.75" hidden="1" x14ac:dyDescent="0.2">
      <c r="Y77" s="387" t="s">
        <v>346</v>
      </c>
    </row>
    <row r="78" spans="25:25" ht="15.75" hidden="1" x14ac:dyDescent="0.2">
      <c r="Y78" s="387" t="s">
        <v>347</v>
      </c>
    </row>
    <row r="79" spans="25:25" ht="15.75" hidden="1" x14ac:dyDescent="0.2">
      <c r="Y79" s="387" t="s">
        <v>348</v>
      </c>
    </row>
    <row r="80" spans="25:25" ht="15.75" hidden="1" x14ac:dyDescent="0.2">
      <c r="Y80" s="387" t="s">
        <v>349</v>
      </c>
    </row>
    <row r="81" spans="25:25" ht="15.75" hidden="1" x14ac:dyDescent="0.2">
      <c r="Y81" s="387" t="s">
        <v>350</v>
      </c>
    </row>
    <row r="82" spans="25:25" ht="15.75" hidden="1" x14ac:dyDescent="0.2">
      <c r="Y82" s="387" t="s">
        <v>351</v>
      </c>
    </row>
    <row r="83" spans="25:25" ht="15.75" hidden="1" x14ac:dyDescent="0.2">
      <c r="Y83" s="387" t="s">
        <v>352</v>
      </c>
    </row>
    <row r="84" spans="25:25" ht="15.75" hidden="1" x14ac:dyDescent="0.2">
      <c r="Y84" s="387" t="s">
        <v>353</v>
      </c>
    </row>
    <row r="85" spans="25:25" ht="15.75" hidden="1" x14ac:dyDescent="0.2">
      <c r="Y85" s="387" t="s">
        <v>354</v>
      </c>
    </row>
    <row r="86" spans="25:25" ht="15.75" hidden="1" x14ac:dyDescent="0.2">
      <c r="Y86" s="387" t="s">
        <v>355</v>
      </c>
    </row>
    <row r="87" spans="25:25" ht="15.75" hidden="1" x14ac:dyDescent="0.2">
      <c r="Y87" s="387" t="s">
        <v>356</v>
      </c>
    </row>
    <row r="88" spans="25:25" ht="15.75" hidden="1" x14ac:dyDescent="0.2">
      <c r="Y88" s="387" t="s">
        <v>357</v>
      </c>
    </row>
    <row r="89" spans="25:25" ht="15.75" hidden="1" x14ac:dyDescent="0.2">
      <c r="Y89" s="387" t="s">
        <v>358</v>
      </c>
    </row>
    <row r="90" spans="25:25" ht="15.75" hidden="1" x14ac:dyDescent="0.2">
      <c r="Y90" s="387" t="s">
        <v>359</v>
      </c>
    </row>
    <row r="91" spans="25:25" ht="15.75" hidden="1" x14ac:dyDescent="0.2">
      <c r="Y91" s="387" t="s">
        <v>360</v>
      </c>
    </row>
    <row r="92" spans="25:25" ht="15.75" hidden="1" x14ac:dyDescent="0.2">
      <c r="Y92" s="387" t="s">
        <v>361</v>
      </c>
    </row>
    <row r="93" spans="25:25" ht="15.75" hidden="1" x14ac:dyDescent="0.2">
      <c r="Y93" s="387" t="s">
        <v>362</v>
      </c>
    </row>
    <row r="94" spans="25:25" ht="15.75" hidden="1" x14ac:dyDescent="0.2">
      <c r="Y94" s="387" t="s">
        <v>363</v>
      </c>
    </row>
    <row r="95" spans="25:25" ht="15.75" hidden="1" x14ac:dyDescent="0.2">
      <c r="Y95" s="387" t="s">
        <v>364</v>
      </c>
    </row>
    <row r="96" spans="25:25" ht="15.75" hidden="1" x14ac:dyDescent="0.2">
      <c r="Y96" s="387" t="s">
        <v>365</v>
      </c>
    </row>
    <row r="97" spans="25:25" ht="15.75" hidden="1" x14ac:dyDescent="0.2">
      <c r="Y97" s="387" t="s">
        <v>366</v>
      </c>
    </row>
    <row r="98" spans="25:25" ht="15.75" hidden="1" x14ac:dyDescent="0.2">
      <c r="Y98" s="387" t="s">
        <v>367</v>
      </c>
    </row>
    <row r="99" spans="25:25" ht="15.75" hidden="1" x14ac:dyDescent="0.2">
      <c r="Y99" s="387" t="s">
        <v>368</v>
      </c>
    </row>
    <row r="100" spans="25:25" ht="15.75" hidden="1" x14ac:dyDescent="0.2">
      <c r="Y100" s="387" t="s">
        <v>369</v>
      </c>
    </row>
    <row r="101" spans="25:25" ht="15.75" hidden="1" x14ac:dyDescent="0.2">
      <c r="Y101" s="387" t="s">
        <v>370</v>
      </c>
    </row>
    <row r="102" spans="25:25" ht="15.75" hidden="1" x14ac:dyDescent="0.2">
      <c r="Y102" s="387" t="s">
        <v>371</v>
      </c>
    </row>
    <row r="103" spans="25:25" ht="15.75" hidden="1" x14ac:dyDescent="0.2">
      <c r="Y103" s="387" t="s">
        <v>372</v>
      </c>
    </row>
    <row r="104" spans="25:25" ht="15.75" hidden="1" x14ac:dyDescent="0.2">
      <c r="Y104" s="387" t="s">
        <v>373</v>
      </c>
    </row>
    <row r="105" spans="25:25" ht="15.75" hidden="1" x14ac:dyDescent="0.2">
      <c r="Y105" s="387" t="s">
        <v>374</v>
      </c>
    </row>
    <row r="106" spans="25:25" ht="15.75" hidden="1" x14ac:dyDescent="0.25">
      <c r="Y106" s="388" t="s">
        <v>375</v>
      </c>
    </row>
  </sheetData>
  <sheetProtection password="DD66" sheet="1" selectLockedCells="1"/>
  <mergeCells count="59">
    <mergeCell ref="B26:M26"/>
    <mergeCell ref="B27:M27"/>
    <mergeCell ref="I21:J21"/>
    <mergeCell ref="K21:L21"/>
    <mergeCell ref="C14:H14"/>
    <mergeCell ref="I15:K15"/>
    <mergeCell ref="A20:D20"/>
    <mergeCell ref="A21:D21"/>
    <mergeCell ref="F18:H18"/>
    <mergeCell ref="J18:M18"/>
    <mergeCell ref="A22:D22"/>
    <mergeCell ref="A23:D23"/>
    <mergeCell ref="B25:M25"/>
    <mergeCell ref="A19:M19"/>
    <mergeCell ref="D15:F15"/>
    <mergeCell ref="G15:H15"/>
    <mergeCell ref="A16:M16"/>
    <mergeCell ref="B17:D17"/>
    <mergeCell ref="F17:K17"/>
    <mergeCell ref="A18:C18"/>
    <mergeCell ref="L15:M15"/>
    <mergeCell ref="A15:C15"/>
    <mergeCell ref="J14:M14"/>
    <mergeCell ref="A13:C13"/>
    <mergeCell ref="D13:F13"/>
    <mergeCell ref="H13:M13"/>
    <mergeCell ref="A14:B14"/>
    <mergeCell ref="A10:D10"/>
    <mergeCell ref="E10:M10"/>
    <mergeCell ref="A11:D11"/>
    <mergeCell ref="A12:D12"/>
    <mergeCell ref="F11:G11"/>
    <mergeCell ref="J11:L11"/>
    <mergeCell ref="H11:I11"/>
    <mergeCell ref="F12:G12"/>
    <mergeCell ref="H12:I12"/>
    <mergeCell ref="J12:M12"/>
    <mergeCell ref="A8:B8"/>
    <mergeCell ref="C8:E8"/>
    <mergeCell ref="G8:M8"/>
    <mergeCell ref="A9:B9"/>
    <mergeCell ref="C9:E9"/>
    <mergeCell ref="F9:M9"/>
    <mergeCell ref="F5:H5"/>
    <mergeCell ref="I5:J5"/>
    <mergeCell ref="K5:M5"/>
    <mergeCell ref="A7:C7"/>
    <mergeCell ref="F7:H7"/>
    <mergeCell ref="J7:M7"/>
    <mergeCell ref="B5:D5"/>
    <mergeCell ref="A6:C6"/>
    <mergeCell ref="G6:K6"/>
    <mergeCell ref="A3:E3"/>
    <mergeCell ref="F3:M3"/>
    <mergeCell ref="A4:E4"/>
    <mergeCell ref="F4:M4"/>
    <mergeCell ref="L2:M2"/>
    <mergeCell ref="A2:F2"/>
    <mergeCell ref="H2:K2"/>
  </mergeCells>
  <phoneticPr fontId="2" type="noConversion"/>
  <dataValidations count="9">
    <dataValidation type="list" allowBlank="1" showInputMessage="1" showErrorMessage="1" sqref="F3:M3" xr:uid="{00000000-0002-0000-0200-000000000000}">
      <formula1>$P$4:$P$5</formula1>
    </dataValidation>
    <dataValidation type="custom" allowBlank="1" showInputMessage="1" showErrorMessage="1" error="Debe introducir un número con formato válido:_x000a_CIF / NIF / DNI / NIE" sqref="B5:D5" xr:uid="{00000000-0002-0000-0200-000001000000}">
      <formula1>P17="OK"</formula1>
    </dataValidation>
    <dataValidation type="whole" allowBlank="1" showInputMessage="1" showErrorMessage="1" error="introduzca un Código Postal válido" sqref="D7" xr:uid="{00000000-0002-0000-0200-000002000000}">
      <formula1>1000</formula1>
      <formula2>52999</formula2>
    </dataValidation>
    <dataValidation type="whole" allowBlank="1" showInputMessage="1" showErrorMessage="1" error="Introduzca un número de teléfono de 9 dígitos sin espacios intermedios" sqref="C8:E9" xr:uid="{00000000-0002-0000-0200-000003000000}">
      <formula1>599999999</formula1>
      <formula2>999999999</formula2>
    </dataValidation>
    <dataValidation type="whole" allowBlank="1" showInputMessage="1" showErrorMessage="1" error="Introduzca un Código Postal válido" sqref="D18" xr:uid="{00000000-0002-0000-0200-000004000000}">
      <formula1>1000</formula1>
      <formula2>52999</formula2>
    </dataValidation>
    <dataValidation type="list" allowBlank="1" showInputMessage="1" showErrorMessage="1" sqref="K21:L21" xr:uid="{00000000-0002-0000-0200-000005000000}">
      <formula1>$P$21:$P$24</formula1>
    </dataValidation>
    <dataValidation type="whole" allowBlank="1" showInputMessage="1" showErrorMessage="1" error="Introduzca el CNAE con 4 dígitos" sqref="E11" xr:uid="{00000000-0002-0000-0200-000006000000}">
      <formula1>100</formula1>
      <formula2>9999</formula2>
    </dataValidation>
    <dataValidation type="list" allowBlank="1" showInputMessage="1" showErrorMessage="1" sqref="E6" xr:uid="{00000000-0002-0000-0200-000007000000}">
      <formula1>$Y$4:$Y$106</formula1>
    </dataValidation>
    <dataValidation type="list" allowBlank="1" showInputMessage="1" showErrorMessage="1" sqref="L2:M2" xr:uid="{00000000-0002-0000-0200-000008000000}">
      <formula1>$R$4:$R$8</formula1>
    </dataValidation>
  </dataValidations>
  <hyperlinks>
    <hyperlink ref="B25" r:id="rId1" xr:uid="{00000000-0004-0000-0200-000000000000}"/>
    <hyperlink ref="B27:M27" r:id="rId2" display="Registro Industrial - navarra.es" xr:uid="{00000000-0004-0000-0200-000001000000}"/>
  </hyperlinks>
  <pageMargins left="0.75" right="0.75" top="1" bottom="1" header="0" footer="0"/>
  <pageSetup paperSize="9"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J65536"/>
  <sheetViews>
    <sheetView showGridLines="0" topLeftCell="A28" zoomScaleNormal="100" workbookViewId="0">
      <selection activeCell="B9" sqref="B9:F9"/>
    </sheetView>
  </sheetViews>
  <sheetFormatPr baseColWidth="10" defaultColWidth="0" defaultRowHeight="12.75" zeroHeight="1" x14ac:dyDescent="0.2"/>
  <cols>
    <col min="1" max="2" width="1.7109375" style="70" customWidth="1"/>
    <col min="3" max="7" width="19.7109375" style="70" customWidth="1"/>
    <col min="8" max="8" width="1.7109375" style="206" customWidth="1"/>
    <col min="9" max="9" width="1.7109375" style="70" customWidth="1"/>
    <col min="10" max="16384" width="0" style="70" hidden="1"/>
  </cols>
  <sheetData>
    <row r="1" spans="1:9" ht="13.5" thickBot="1" x14ac:dyDescent="0.25">
      <c r="H1" s="204"/>
      <c r="I1" s="153"/>
    </row>
    <row r="2" spans="1:9" ht="16.5" thickBot="1" x14ac:dyDescent="0.3">
      <c r="A2" s="1098" t="s">
        <v>95</v>
      </c>
      <c r="B2" s="1099"/>
      <c r="C2" s="1099"/>
      <c r="D2" s="1099"/>
      <c r="E2" s="1099"/>
      <c r="F2" s="1099"/>
      <c r="G2" s="1100"/>
      <c r="H2" s="204"/>
      <c r="I2" s="153"/>
    </row>
    <row r="3" spans="1:9" ht="54" customHeight="1" thickBot="1" x14ac:dyDescent="0.25">
      <c r="C3" s="1111" t="s">
        <v>235</v>
      </c>
      <c r="D3" s="1111"/>
      <c r="E3" s="1111"/>
      <c r="F3" s="1111"/>
      <c r="G3" s="1111"/>
      <c r="H3" s="204"/>
      <c r="I3" s="153"/>
    </row>
    <row r="4" spans="1:9" ht="34.5" customHeight="1" thickBot="1" x14ac:dyDescent="0.25">
      <c r="A4" s="1101" t="s">
        <v>79</v>
      </c>
      <c r="B4" s="1102"/>
      <c r="C4" s="1102"/>
      <c r="D4" s="1102"/>
      <c r="E4" s="1102"/>
      <c r="F4" s="1102"/>
      <c r="G4" s="1103"/>
      <c r="H4" s="204"/>
      <c r="I4" s="153"/>
    </row>
    <row r="5" spans="1:9" ht="16.5" x14ac:dyDescent="0.2">
      <c r="A5" s="154"/>
      <c r="B5" s="155"/>
      <c r="C5" s="1104" t="s">
        <v>383</v>
      </c>
      <c r="D5" s="1104"/>
      <c r="E5" s="156" t="s">
        <v>80</v>
      </c>
      <c r="F5" s="625"/>
      <c r="G5" s="389" t="s">
        <v>384</v>
      </c>
      <c r="H5" s="204"/>
      <c r="I5" s="153"/>
    </row>
    <row r="6" spans="1:9" ht="17.25" thickBot="1" x14ac:dyDescent="0.25">
      <c r="A6" s="157"/>
      <c r="B6" s="155"/>
      <c r="C6" s="158"/>
      <c r="D6" s="159"/>
      <c r="E6" s="156"/>
      <c r="F6" s="155"/>
      <c r="G6" s="155"/>
      <c r="H6" s="204"/>
      <c r="I6" s="153"/>
    </row>
    <row r="7" spans="1:9" ht="16.5" x14ac:dyDescent="0.2">
      <c r="A7" s="157"/>
      <c r="B7" s="1092" t="s">
        <v>81</v>
      </c>
      <c r="C7" s="1093"/>
      <c r="D7" s="1093"/>
      <c r="E7" s="1093"/>
      <c r="F7" s="1094"/>
      <c r="G7" s="1095"/>
      <c r="H7" s="204"/>
      <c r="I7" s="153"/>
    </row>
    <row r="8" spans="1:9" ht="16.5" x14ac:dyDescent="0.2">
      <c r="A8" s="160"/>
      <c r="B8" s="1112" t="s">
        <v>56</v>
      </c>
      <c r="C8" s="1113"/>
      <c r="D8" s="1113"/>
      <c r="E8" s="1113"/>
      <c r="F8" s="1114"/>
      <c r="G8" s="161" t="s">
        <v>54</v>
      </c>
      <c r="H8" s="205"/>
      <c r="I8" s="153"/>
    </row>
    <row r="9" spans="1:9" ht="16.5" x14ac:dyDescent="0.2">
      <c r="A9" s="157"/>
      <c r="B9" s="1105"/>
      <c r="C9" s="1106"/>
      <c r="D9" s="1106"/>
      <c r="E9" s="1106"/>
      <c r="F9" s="1107"/>
      <c r="G9" s="32"/>
      <c r="H9" s="204"/>
      <c r="I9" s="153"/>
    </row>
    <row r="10" spans="1:9" ht="16.5" x14ac:dyDescent="0.2">
      <c r="A10" s="157"/>
      <c r="B10" s="1105"/>
      <c r="C10" s="1106"/>
      <c r="D10" s="1106"/>
      <c r="E10" s="1106"/>
      <c r="F10" s="1107"/>
      <c r="G10" s="32"/>
      <c r="H10" s="204"/>
      <c r="I10" s="153"/>
    </row>
    <row r="11" spans="1:9" ht="16.5" x14ac:dyDescent="0.2">
      <c r="A11" s="157"/>
      <c r="B11" s="1105"/>
      <c r="C11" s="1106"/>
      <c r="D11" s="1106"/>
      <c r="E11" s="1106"/>
      <c r="F11" s="1107"/>
      <c r="G11" s="32"/>
      <c r="H11" s="204"/>
      <c r="I11" s="153"/>
    </row>
    <row r="12" spans="1:9" ht="16.5" x14ac:dyDescent="0.2">
      <c r="A12" s="157"/>
      <c r="B12" s="1105"/>
      <c r="C12" s="1106"/>
      <c r="D12" s="1106"/>
      <c r="E12" s="1106"/>
      <c r="F12" s="1107"/>
      <c r="G12" s="32"/>
      <c r="H12" s="204"/>
      <c r="I12" s="153"/>
    </row>
    <row r="13" spans="1:9" ht="16.5" x14ac:dyDescent="0.2">
      <c r="A13" s="157"/>
      <c r="B13" s="1105"/>
      <c r="C13" s="1106"/>
      <c r="D13" s="1106"/>
      <c r="E13" s="1106"/>
      <c r="F13" s="1107"/>
      <c r="G13" s="32"/>
      <c r="H13" s="204"/>
      <c r="I13" s="153"/>
    </row>
    <row r="14" spans="1:9" ht="16.5" x14ac:dyDescent="0.2">
      <c r="A14" s="157"/>
      <c r="B14" s="1105"/>
      <c r="C14" s="1106"/>
      <c r="D14" s="1106"/>
      <c r="E14" s="1106"/>
      <c r="F14" s="1107"/>
      <c r="G14" s="32"/>
      <c r="H14" s="204"/>
      <c r="I14" s="153"/>
    </row>
    <row r="15" spans="1:9" ht="16.5" x14ac:dyDescent="0.2">
      <c r="A15" s="157"/>
      <c r="B15" s="1105"/>
      <c r="C15" s="1106"/>
      <c r="D15" s="1106"/>
      <c r="E15" s="1106"/>
      <c r="F15" s="1107"/>
      <c r="G15" s="32"/>
      <c r="H15" s="204"/>
      <c r="I15" s="153"/>
    </row>
    <row r="16" spans="1:9" ht="16.5" x14ac:dyDescent="0.2">
      <c r="A16" s="157"/>
      <c r="B16" s="1105"/>
      <c r="C16" s="1106"/>
      <c r="D16" s="1106"/>
      <c r="E16" s="1106"/>
      <c r="F16" s="1107"/>
      <c r="G16" s="32"/>
      <c r="H16" s="204"/>
      <c r="I16" s="153"/>
    </row>
    <row r="17" spans="1:9" ht="16.5" x14ac:dyDescent="0.2">
      <c r="A17" s="157"/>
      <c r="B17" s="1105"/>
      <c r="C17" s="1106"/>
      <c r="D17" s="1106"/>
      <c r="E17" s="1106"/>
      <c r="F17" s="1107"/>
      <c r="G17" s="32"/>
      <c r="H17" s="204"/>
      <c r="I17" s="153"/>
    </row>
    <row r="18" spans="1:9" ht="16.5" x14ac:dyDescent="0.2">
      <c r="A18" s="157"/>
      <c r="B18" s="1105"/>
      <c r="C18" s="1106"/>
      <c r="D18" s="1106"/>
      <c r="E18" s="1106"/>
      <c r="F18" s="1107"/>
      <c r="G18" s="32"/>
      <c r="H18" s="204"/>
      <c r="I18" s="153"/>
    </row>
    <row r="19" spans="1:9" ht="16.5" x14ac:dyDescent="0.2">
      <c r="A19" s="157"/>
      <c r="B19" s="1105"/>
      <c r="C19" s="1106"/>
      <c r="D19" s="1106"/>
      <c r="E19" s="1106"/>
      <c r="F19" s="1107"/>
      <c r="G19" s="32"/>
      <c r="H19" s="204"/>
      <c r="I19" s="153"/>
    </row>
    <row r="20" spans="1:9" ht="16.5" x14ac:dyDescent="0.2">
      <c r="A20" s="157"/>
      <c r="B20" s="1105"/>
      <c r="C20" s="1106"/>
      <c r="D20" s="1106"/>
      <c r="E20" s="1106"/>
      <c r="F20" s="1107"/>
      <c r="G20" s="32"/>
      <c r="H20" s="204"/>
      <c r="I20" s="153"/>
    </row>
    <row r="21" spans="1:9" ht="16.5" x14ac:dyDescent="0.2">
      <c r="A21" s="157"/>
      <c r="B21" s="1105"/>
      <c r="C21" s="1106"/>
      <c r="D21" s="1106"/>
      <c r="E21" s="1106"/>
      <c r="F21" s="1107"/>
      <c r="G21" s="32"/>
      <c r="H21" s="204"/>
      <c r="I21" s="153"/>
    </row>
    <row r="22" spans="1:9" ht="16.5" x14ac:dyDescent="0.2">
      <c r="A22" s="157"/>
      <c r="B22" s="1105"/>
      <c r="C22" s="1106"/>
      <c r="D22" s="1106"/>
      <c r="E22" s="1106"/>
      <c r="F22" s="1107"/>
      <c r="G22" s="32"/>
      <c r="H22" s="204"/>
      <c r="I22" s="153"/>
    </row>
    <row r="23" spans="1:9" ht="16.5" x14ac:dyDescent="0.2">
      <c r="A23" s="157"/>
      <c r="B23" s="1105"/>
      <c r="C23" s="1106"/>
      <c r="D23" s="1106"/>
      <c r="E23" s="1106"/>
      <c r="F23" s="1107"/>
      <c r="G23" s="32"/>
      <c r="H23" s="204"/>
      <c r="I23" s="153"/>
    </row>
    <row r="24" spans="1:9" ht="16.5" x14ac:dyDescent="0.2">
      <c r="A24" s="157"/>
      <c r="B24" s="1105"/>
      <c r="C24" s="1106"/>
      <c r="D24" s="1106"/>
      <c r="E24" s="1106"/>
      <c r="F24" s="1107"/>
      <c r="G24" s="32"/>
      <c r="H24" s="204"/>
      <c r="I24" s="153"/>
    </row>
    <row r="25" spans="1:9" ht="16.5" x14ac:dyDescent="0.2">
      <c r="A25" s="157"/>
      <c r="B25" s="1105"/>
      <c r="C25" s="1106"/>
      <c r="D25" s="1106"/>
      <c r="E25" s="1106"/>
      <c r="F25" s="1107"/>
      <c r="G25" s="32"/>
      <c r="H25" s="204"/>
      <c r="I25" s="153"/>
    </row>
    <row r="26" spans="1:9" ht="16.5" x14ac:dyDescent="0.2">
      <c r="A26" s="157"/>
      <c r="B26" s="1105"/>
      <c r="C26" s="1106"/>
      <c r="D26" s="1106"/>
      <c r="E26" s="1106"/>
      <c r="F26" s="1107"/>
      <c r="G26" s="32"/>
      <c r="H26" s="204"/>
      <c r="I26" s="153"/>
    </row>
    <row r="27" spans="1:9" ht="16.5" x14ac:dyDescent="0.2">
      <c r="A27" s="157"/>
      <c r="B27" s="1105"/>
      <c r="C27" s="1106"/>
      <c r="D27" s="1106"/>
      <c r="E27" s="1106"/>
      <c r="F27" s="1107"/>
      <c r="G27" s="32"/>
      <c r="H27" s="204"/>
      <c r="I27" s="153"/>
    </row>
    <row r="28" spans="1:9" ht="16.5" x14ac:dyDescent="0.2">
      <c r="A28" s="157"/>
      <c r="B28" s="1105"/>
      <c r="C28" s="1106"/>
      <c r="D28" s="1106"/>
      <c r="E28" s="1106"/>
      <c r="F28" s="1107"/>
      <c r="G28" s="32"/>
      <c r="H28" s="204"/>
      <c r="I28" s="153"/>
    </row>
    <row r="29" spans="1:9" ht="16.5" x14ac:dyDescent="0.2">
      <c r="A29" s="157"/>
      <c r="B29" s="1105"/>
      <c r="C29" s="1106"/>
      <c r="D29" s="1106"/>
      <c r="E29" s="1106"/>
      <c r="F29" s="1107"/>
      <c r="G29" s="32"/>
      <c r="H29" s="204"/>
      <c r="I29" s="153"/>
    </row>
    <row r="30" spans="1:9" ht="17.25" thickBot="1" x14ac:dyDescent="0.25">
      <c r="A30" s="157"/>
      <c r="B30" s="1108" t="s">
        <v>60</v>
      </c>
      <c r="C30" s="1109"/>
      <c r="D30" s="1109"/>
      <c r="E30" s="1109"/>
      <c r="F30" s="1110"/>
      <c r="G30" s="33">
        <f>SUM(G9:G29)</f>
        <v>0</v>
      </c>
      <c r="H30" s="204"/>
      <c r="I30" s="153"/>
    </row>
    <row r="31" spans="1:9" x14ac:dyDescent="0.2">
      <c r="A31" s="157"/>
      <c r="B31" s="162"/>
      <c r="C31" s="153"/>
      <c r="D31" s="162"/>
      <c r="E31" s="162"/>
      <c r="F31" s="162"/>
      <c r="G31" s="162"/>
      <c r="H31" s="204"/>
      <c r="I31" s="153"/>
    </row>
    <row r="32" spans="1:9" ht="13.5" thickBot="1" x14ac:dyDescent="0.25">
      <c r="A32" s="157"/>
      <c r="B32" s="162"/>
      <c r="C32" s="153"/>
      <c r="D32" s="162"/>
      <c r="E32" s="162"/>
      <c r="F32" s="162"/>
      <c r="G32" s="162"/>
      <c r="H32" s="204"/>
      <c r="I32" s="153"/>
    </row>
    <row r="33" spans="1:9" ht="16.5" x14ac:dyDescent="0.2">
      <c r="A33" s="157"/>
      <c r="B33" s="1092" t="s">
        <v>82</v>
      </c>
      <c r="C33" s="1093"/>
      <c r="D33" s="1093"/>
      <c r="E33" s="1093"/>
      <c r="F33" s="1094"/>
      <c r="G33" s="1095"/>
      <c r="H33" s="204"/>
      <c r="I33" s="153"/>
    </row>
    <row r="34" spans="1:9" ht="16.5" x14ac:dyDescent="0.2">
      <c r="A34" s="157"/>
      <c r="B34" s="1112" t="s">
        <v>57</v>
      </c>
      <c r="C34" s="1113"/>
      <c r="D34" s="1113"/>
      <c r="E34" s="1113"/>
      <c r="F34" s="1114"/>
      <c r="G34" s="161" t="s">
        <v>54</v>
      </c>
      <c r="H34" s="204"/>
      <c r="I34" s="153"/>
    </row>
    <row r="35" spans="1:9" ht="16.5" x14ac:dyDescent="0.2">
      <c r="A35" s="157"/>
      <c r="B35" s="1083"/>
      <c r="C35" s="1084"/>
      <c r="D35" s="1084"/>
      <c r="E35" s="1084"/>
      <c r="F35" s="1085"/>
      <c r="G35" s="35"/>
      <c r="H35" s="204"/>
      <c r="I35" s="153"/>
    </row>
    <row r="36" spans="1:9" ht="16.5" x14ac:dyDescent="0.2">
      <c r="A36" s="157"/>
      <c r="B36" s="1083"/>
      <c r="C36" s="1084"/>
      <c r="D36" s="1084"/>
      <c r="E36" s="1084"/>
      <c r="F36" s="1085"/>
      <c r="G36" s="35"/>
      <c r="H36" s="204"/>
      <c r="I36" s="153"/>
    </row>
    <row r="37" spans="1:9" ht="16.5" x14ac:dyDescent="0.2">
      <c r="A37" s="157"/>
      <c r="B37" s="1083"/>
      <c r="C37" s="1084"/>
      <c r="D37" s="1084"/>
      <c r="E37" s="1084"/>
      <c r="F37" s="1085"/>
      <c r="G37" s="35"/>
      <c r="H37" s="204"/>
      <c r="I37" s="153"/>
    </row>
    <row r="38" spans="1:9" ht="16.5" x14ac:dyDescent="0.2">
      <c r="A38" s="157"/>
      <c r="B38" s="1083"/>
      <c r="C38" s="1084"/>
      <c r="D38" s="1084"/>
      <c r="E38" s="1084"/>
      <c r="F38" s="1085"/>
      <c r="G38" s="35"/>
      <c r="H38" s="204"/>
      <c r="I38" s="153"/>
    </row>
    <row r="39" spans="1:9" ht="16.5" x14ac:dyDescent="0.2">
      <c r="A39" s="157"/>
      <c r="B39" s="1083"/>
      <c r="C39" s="1084"/>
      <c r="D39" s="1084"/>
      <c r="E39" s="1084"/>
      <c r="F39" s="1085"/>
      <c r="G39" s="35"/>
      <c r="H39" s="204"/>
      <c r="I39" s="153"/>
    </row>
    <row r="40" spans="1:9" ht="16.5" x14ac:dyDescent="0.2">
      <c r="A40" s="157"/>
      <c r="B40" s="1083"/>
      <c r="C40" s="1084"/>
      <c r="D40" s="1084"/>
      <c r="E40" s="1084"/>
      <c r="F40" s="1085"/>
      <c r="G40" s="35"/>
      <c r="H40" s="204"/>
      <c r="I40" s="153"/>
    </row>
    <row r="41" spans="1:9" ht="16.5" x14ac:dyDescent="0.2">
      <c r="A41" s="157"/>
      <c r="B41" s="1083"/>
      <c r="C41" s="1084"/>
      <c r="D41" s="1084"/>
      <c r="E41" s="1084"/>
      <c r="F41" s="1085"/>
      <c r="G41" s="35"/>
      <c r="H41" s="204"/>
      <c r="I41" s="153"/>
    </row>
    <row r="42" spans="1:9" ht="16.5" x14ac:dyDescent="0.2">
      <c r="A42" s="157"/>
      <c r="B42" s="1083"/>
      <c r="C42" s="1084"/>
      <c r="D42" s="1084"/>
      <c r="E42" s="1084"/>
      <c r="F42" s="1085"/>
      <c r="G42" s="35"/>
      <c r="H42" s="204"/>
      <c r="I42" s="153"/>
    </row>
    <row r="43" spans="1:9" ht="16.5" x14ac:dyDescent="0.2">
      <c r="A43" s="157"/>
      <c r="B43" s="1083"/>
      <c r="C43" s="1084"/>
      <c r="D43" s="1084"/>
      <c r="E43" s="1084"/>
      <c r="F43" s="1085"/>
      <c r="G43" s="35"/>
      <c r="H43" s="204"/>
      <c r="I43" s="153"/>
    </row>
    <row r="44" spans="1:9" ht="16.5" x14ac:dyDescent="0.2">
      <c r="A44" s="157"/>
      <c r="B44" s="1083"/>
      <c r="C44" s="1084"/>
      <c r="D44" s="1084"/>
      <c r="E44" s="1084"/>
      <c r="F44" s="1085"/>
      <c r="G44" s="35"/>
      <c r="H44" s="204"/>
      <c r="I44" s="153"/>
    </row>
    <row r="45" spans="1:9" ht="16.5" x14ac:dyDescent="0.2">
      <c r="A45" s="157"/>
      <c r="B45" s="1083"/>
      <c r="C45" s="1084"/>
      <c r="D45" s="1084"/>
      <c r="E45" s="1084"/>
      <c r="F45" s="1085"/>
      <c r="G45" s="35"/>
      <c r="H45" s="204"/>
      <c r="I45" s="153"/>
    </row>
    <row r="46" spans="1:9" ht="16.5" x14ac:dyDescent="0.2">
      <c r="A46" s="157"/>
      <c r="B46" s="1083"/>
      <c r="C46" s="1084"/>
      <c r="D46" s="1084"/>
      <c r="E46" s="1084"/>
      <c r="F46" s="1085"/>
      <c r="G46" s="35"/>
      <c r="H46" s="204"/>
      <c r="I46" s="153"/>
    </row>
    <row r="47" spans="1:9" ht="16.5" x14ac:dyDescent="0.2">
      <c r="A47" s="157"/>
      <c r="B47" s="1083"/>
      <c r="C47" s="1084"/>
      <c r="D47" s="1084"/>
      <c r="E47" s="1084"/>
      <c r="F47" s="1085"/>
      <c r="G47" s="35"/>
      <c r="H47" s="204"/>
      <c r="I47" s="153"/>
    </row>
    <row r="48" spans="1:9" ht="16.5" x14ac:dyDescent="0.2">
      <c r="A48" s="157"/>
      <c r="B48" s="1083"/>
      <c r="C48" s="1084"/>
      <c r="D48" s="1084"/>
      <c r="E48" s="1084"/>
      <c r="F48" s="1085"/>
      <c r="G48" s="35"/>
      <c r="H48" s="204"/>
      <c r="I48" s="153"/>
    </row>
    <row r="49" spans="1:9" ht="16.5" x14ac:dyDescent="0.2">
      <c r="A49" s="157"/>
      <c r="B49" s="1083"/>
      <c r="C49" s="1084"/>
      <c r="D49" s="1084"/>
      <c r="E49" s="1084"/>
      <c r="F49" s="1085"/>
      <c r="G49" s="35"/>
      <c r="H49" s="204"/>
      <c r="I49" s="153"/>
    </row>
    <row r="50" spans="1:9" ht="16.5" x14ac:dyDescent="0.2">
      <c r="A50" s="157"/>
      <c r="B50" s="1083"/>
      <c r="C50" s="1084"/>
      <c r="D50" s="1084"/>
      <c r="E50" s="1084"/>
      <c r="F50" s="1085"/>
      <c r="G50" s="35"/>
      <c r="H50" s="204"/>
      <c r="I50" s="153"/>
    </row>
    <row r="51" spans="1:9" ht="16.5" x14ac:dyDescent="0.2">
      <c r="A51" s="157"/>
      <c r="B51" s="1083"/>
      <c r="C51" s="1084"/>
      <c r="D51" s="1084"/>
      <c r="E51" s="1084"/>
      <c r="F51" s="1085"/>
      <c r="G51" s="35"/>
      <c r="H51" s="204"/>
      <c r="I51" s="153"/>
    </row>
    <row r="52" spans="1:9" ht="17.25" thickBot="1" x14ac:dyDescent="0.25">
      <c r="A52" s="157"/>
      <c r="B52" s="1119"/>
      <c r="C52" s="1120"/>
      <c r="D52" s="1120"/>
      <c r="E52" s="1120"/>
      <c r="F52" s="1121"/>
      <c r="G52" s="36"/>
      <c r="H52" s="204"/>
      <c r="I52" s="153"/>
    </row>
    <row r="53" spans="1:9" ht="17.25" thickBot="1" x14ac:dyDescent="0.25">
      <c r="A53" s="157"/>
      <c r="B53" s="163"/>
      <c r="C53" s="163"/>
      <c r="D53" s="153"/>
      <c r="E53" s="153"/>
      <c r="F53" s="164"/>
      <c r="G53" s="164"/>
      <c r="H53" s="204"/>
      <c r="I53" s="153"/>
    </row>
    <row r="54" spans="1:9" ht="34.5" customHeight="1" thickBot="1" x14ac:dyDescent="0.25">
      <c r="A54" s="157"/>
      <c r="B54" s="1092" t="s">
        <v>83</v>
      </c>
      <c r="C54" s="1093"/>
      <c r="D54" s="1093"/>
      <c r="E54" s="1093"/>
      <c r="F54" s="1094"/>
      <c r="G54" s="1095"/>
      <c r="H54" s="204"/>
      <c r="I54" s="153"/>
    </row>
    <row r="55" spans="1:9" ht="25.5" x14ac:dyDescent="0.2">
      <c r="A55" s="157"/>
      <c r="B55" s="1122" t="s">
        <v>57</v>
      </c>
      <c r="C55" s="1123"/>
      <c r="D55" s="165" t="s">
        <v>236</v>
      </c>
      <c r="E55" s="165" t="s">
        <v>84</v>
      </c>
      <c r="F55" s="1096" t="s">
        <v>58</v>
      </c>
      <c r="G55" s="1097"/>
      <c r="H55" s="204"/>
      <c r="I55" s="153"/>
    </row>
    <row r="56" spans="1:9" ht="16.5" x14ac:dyDescent="0.2">
      <c r="A56" s="157"/>
      <c r="B56" s="1088"/>
      <c r="C56" s="1089"/>
      <c r="D56" s="18"/>
      <c r="E56" s="37"/>
      <c r="F56" s="1090"/>
      <c r="G56" s="1091"/>
      <c r="H56" s="204"/>
      <c r="I56" s="153"/>
    </row>
    <row r="57" spans="1:9" ht="16.5" x14ac:dyDescent="0.2">
      <c r="A57" s="157"/>
      <c r="B57" s="1088"/>
      <c r="C57" s="1089"/>
      <c r="D57" s="18"/>
      <c r="E57" s="37"/>
      <c r="F57" s="1090"/>
      <c r="G57" s="1091"/>
      <c r="H57" s="204"/>
      <c r="I57" s="153"/>
    </row>
    <row r="58" spans="1:9" ht="16.5" x14ac:dyDescent="0.2">
      <c r="A58" s="157"/>
      <c r="B58" s="1088"/>
      <c r="C58" s="1089"/>
      <c r="D58" s="18"/>
      <c r="E58" s="37"/>
      <c r="F58" s="1090"/>
      <c r="G58" s="1091"/>
      <c r="H58" s="204"/>
      <c r="I58" s="153"/>
    </row>
    <row r="59" spans="1:9" ht="14.25" x14ac:dyDescent="0.2">
      <c r="A59" s="157"/>
      <c r="B59" s="1088"/>
      <c r="C59" s="1089"/>
      <c r="D59" s="38"/>
      <c r="E59" s="39"/>
      <c r="F59" s="1081"/>
      <c r="G59" s="1082"/>
      <c r="H59" s="204"/>
      <c r="I59" s="153"/>
    </row>
    <row r="60" spans="1:9" ht="14.25" x14ac:dyDescent="0.2">
      <c r="A60" s="157"/>
      <c r="B60" s="1086"/>
      <c r="C60" s="1087"/>
      <c r="D60" s="38"/>
      <c r="E60" s="39"/>
      <c r="F60" s="1081"/>
      <c r="G60" s="1082"/>
      <c r="H60" s="204"/>
      <c r="I60" s="153"/>
    </row>
    <row r="61" spans="1:9" ht="14.25" x14ac:dyDescent="0.2">
      <c r="A61" s="157"/>
      <c r="B61" s="1086"/>
      <c r="C61" s="1087"/>
      <c r="D61" s="38"/>
      <c r="E61" s="39"/>
      <c r="F61" s="1081"/>
      <c r="G61" s="1082"/>
      <c r="H61" s="204"/>
      <c r="I61" s="153"/>
    </row>
    <row r="62" spans="1:9" ht="14.25" x14ac:dyDescent="0.2">
      <c r="A62" s="157"/>
      <c r="B62" s="1086"/>
      <c r="C62" s="1087"/>
      <c r="D62" s="38"/>
      <c r="E62" s="39"/>
      <c r="F62" s="1081"/>
      <c r="G62" s="1082"/>
      <c r="H62" s="204"/>
      <c r="I62" s="153"/>
    </row>
    <row r="63" spans="1:9" ht="14.25" x14ac:dyDescent="0.2">
      <c r="A63" s="157"/>
      <c r="B63" s="1086"/>
      <c r="C63" s="1087"/>
      <c r="D63" s="38"/>
      <c r="E63" s="39"/>
      <c r="F63" s="1081"/>
      <c r="G63" s="1082"/>
      <c r="H63" s="204"/>
      <c r="I63" s="153"/>
    </row>
    <row r="64" spans="1:9" ht="14.25" x14ac:dyDescent="0.2">
      <c r="A64" s="157"/>
      <c r="B64" s="1086"/>
      <c r="C64" s="1087"/>
      <c r="D64" s="38"/>
      <c r="E64" s="39"/>
      <c r="F64" s="1081"/>
      <c r="G64" s="1082"/>
      <c r="H64" s="204"/>
      <c r="I64" s="153"/>
    </row>
    <row r="65" spans="1:9" ht="14.25" x14ac:dyDescent="0.2">
      <c r="A65" s="157"/>
      <c r="B65" s="1086"/>
      <c r="C65" s="1087"/>
      <c r="D65" s="38"/>
      <c r="E65" s="39"/>
      <c r="F65" s="1081"/>
      <c r="G65" s="1082"/>
      <c r="H65" s="204"/>
      <c r="I65" s="153"/>
    </row>
    <row r="66" spans="1:9" ht="14.25" x14ac:dyDescent="0.2">
      <c r="A66" s="157"/>
      <c r="B66" s="1086"/>
      <c r="C66" s="1087"/>
      <c r="D66" s="38"/>
      <c r="E66" s="39"/>
      <c r="F66" s="1081"/>
      <c r="G66" s="1082"/>
      <c r="H66" s="204"/>
      <c r="I66" s="153"/>
    </row>
    <row r="67" spans="1:9" ht="14.25" x14ac:dyDescent="0.2">
      <c r="A67" s="157"/>
      <c r="B67" s="1086"/>
      <c r="C67" s="1087"/>
      <c r="D67" s="38"/>
      <c r="E67" s="39"/>
      <c r="F67" s="1081"/>
      <c r="G67" s="1082"/>
      <c r="H67" s="204"/>
      <c r="I67" s="153"/>
    </row>
    <row r="68" spans="1:9" ht="14.25" x14ac:dyDescent="0.2">
      <c r="A68" s="157"/>
      <c r="B68" s="1086"/>
      <c r="C68" s="1087"/>
      <c r="D68" s="38"/>
      <c r="E68" s="39"/>
      <c r="F68" s="1081"/>
      <c r="G68" s="1082"/>
      <c r="H68" s="204"/>
      <c r="I68" s="153"/>
    </row>
    <row r="69" spans="1:9" ht="14.25" x14ac:dyDescent="0.2">
      <c r="A69" s="157"/>
      <c r="B69" s="1088"/>
      <c r="C69" s="1089"/>
      <c r="D69" s="38"/>
      <c r="E69" s="39"/>
      <c r="F69" s="1081"/>
      <c r="G69" s="1082"/>
      <c r="H69" s="204"/>
      <c r="I69" s="153"/>
    </row>
    <row r="70" spans="1:9" ht="14.25" x14ac:dyDescent="0.2">
      <c r="A70" s="157"/>
      <c r="B70" s="1088"/>
      <c r="C70" s="1089"/>
      <c r="D70" s="38"/>
      <c r="E70" s="39"/>
      <c r="F70" s="1081"/>
      <c r="G70" s="1082"/>
      <c r="H70" s="204"/>
      <c r="I70" s="153"/>
    </row>
    <row r="71" spans="1:9" ht="14.25" x14ac:dyDescent="0.2">
      <c r="A71" s="157"/>
      <c r="B71" s="1088"/>
      <c r="C71" s="1089"/>
      <c r="D71" s="38"/>
      <c r="E71" s="39"/>
      <c r="F71" s="1081"/>
      <c r="G71" s="1082"/>
      <c r="H71" s="204"/>
      <c r="I71" s="153"/>
    </row>
    <row r="72" spans="1:9" ht="14.25" x14ac:dyDescent="0.2">
      <c r="A72" s="157"/>
      <c r="B72" s="1088"/>
      <c r="C72" s="1089"/>
      <c r="D72" s="38"/>
      <c r="E72" s="39"/>
      <c r="F72" s="1081"/>
      <c r="G72" s="1082"/>
      <c r="H72" s="204"/>
      <c r="I72" s="153"/>
    </row>
    <row r="73" spans="1:9" ht="14.25" x14ac:dyDescent="0.2">
      <c r="A73" s="157"/>
      <c r="B73" s="1088"/>
      <c r="C73" s="1089"/>
      <c r="D73" s="38"/>
      <c r="E73" s="39"/>
      <c r="F73" s="1081"/>
      <c r="G73" s="1082"/>
      <c r="H73" s="204"/>
      <c r="I73" s="153"/>
    </row>
    <row r="74" spans="1:9" ht="14.25" x14ac:dyDescent="0.2">
      <c r="A74" s="157"/>
      <c r="B74" s="1088"/>
      <c r="C74" s="1089"/>
      <c r="D74" s="38"/>
      <c r="E74" s="39"/>
      <c r="F74" s="1081"/>
      <c r="G74" s="1082"/>
      <c r="H74" s="204"/>
      <c r="I74" s="153"/>
    </row>
    <row r="75" spans="1:9" ht="14.25" x14ac:dyDescent="0.2">
      <c r="A75" s="157"/>
      <c r="B75" s="1088" t="s">
        <v>64</v>
      </c>
      <c r="C75" s="1089"/>
      <c r="D75" s="38"/>
      <c r="E75" s="39"/>
      <c r="F75" s="1081"/>
      <c r="G75" s="1082"/>
      <c r="H75" s="204"/>
      <c r="I75" s="153"/>
    </row>
    <row r="76" spans="1:9" ht="14.25" x14ac:dyDescent="0.2">
      <c r="A76" s="157"/>
      <c r="B76" s="1088" t="s">
        <v>64</v>
      </c>
      <c r="C76" s="1089"/>
      <c r="D76" s="38"/>
      <c r="E76" s="39"/>
      <c r="F76" s="1081"/>
      <c r="G76" s="1082"/>
      <c r="H76" s="204"/>
      <c r="I76" s="153"/>
    </row>
    <row r="77" spans="1:9" ht="15" thickBot="1" x14ac:dyDescent="0.25">
      <c r="A77" s="157"/>
      <c r="B77" s="1135" t="s">
        <v>64</v>
      </c>
      <c r="C77" s="1136"/>
      <c r="D77" s="40"/>
      <c r="E77" s="41"/>
      <c r="F77" s="1133"/>
      <c r="G77" s="1134"/>
      <c r="H77" s="204"/>
      <c r="I77" s="153"/>
    </row>
    <row r="78" spans="1:9" ht="13.5" thickBot="1" x14ac:dyDescent="0.25">
      <c r="A78" s="157"/>
      <c r="B78" s="153"/>
      <c r="C78" s="153"/>
      <c r="D78" s="153"/>
      <c r="E78" s="153"/>
      <c r="F78" s="153"/>
      <c r="G78" s="153"/>
      <c r="H78" s="204"/>
      <c r="I78" s="153"/>
    </row>
    <row r="79" spans="1:9" ht="16.5" customHeight="1" x14ac:dyDescent="0.2">
      <c r="A79" s="157"/>
      <c r="B79" s="1124" t="s">
        <v>234</v>
      </c>
      <c r="C79" s="1125"/>
      <c r="D79" s="1125"/>
      <c r="E79" s="1125"/>
      <c r="F79" s="1125"/>
      <c r="G79" s="1126"/>
      <c r="H79" s="204"/>
      <c r="I79" s="153"/>
    </row>
    <row r="80" spans="1:9" ht="16.5" customHeight="1" x14ac:dyDescent="0.2">
      <c r="A80" s="157"/>
      <c r="B80" s="1127"/>
      <c r="C80" s="1128"/>
      <c r="D80" s="1128"/>
      <c r="E80" s="1128"/>
      <c r="F80" s="1128"/>
      <c r="G80" s="1129"/>
      <c r="H80" s="204"/>
      <c r="I80" s="153"/>
    </row>
    <row r="81" spans="1:10" ht="16.5" customHeight="1" x14ac:dyDescent="0.2">
      <c r="A81" s="157"/>
      <c r="B81" s="1127"/>
      <c r="C81" s="1128"/>
      <c r="D81" s="1128"/>
      <c r="E81" s="1128"/>
      <c r="F81" s="1128"/>
      <c r="G81" s="1129"/>
      <c r="H81" s="204"/>
      <c r="I81" s="153"/>
    </row>
    <row r="82" spans="1:10" ht="16.5" customHeight="1" thickBot="1" x14ac:dyDescent="0.25">
      <c r="A82" s="157"/>
      <c r="B82" s="1130"/>
      <c r="C82" s="1131"/>
      <c r="D82" s="1131"/>
      <c r="E82" s="1131"/>
      <c r="F82" s="1131"/>
      <c r="G82" s="1132"/>
      <c r="H82" s="204"/>
      <c r="I82" s="153"/>
    </row>
    <row r="83" spans="1:10" ht="13.5" thickBot="1" x14ac:dyDescent="0.25">
      <c r="A83" s="157"/>
      <c r="B83" s="153"/>
      <c r="C83" s="153"/>
      <c r="D83" s="153"/>
      <c r="E83" s="153"/>
      <c r="F83" s="153"/>
      <c r="G83" s="153"/>
      <c r="H83" s="204"/>
      <c r="I83" s="153"/>
    </row>
    <row r="84" spans="1:10" x14ac:dyDescent="0.2">
      <c r="A84" s="157"/>
      <c r="B84" s="153"/>
      <c r="C84" s="166" t="s">
        <v>86</v>
      </c>
      <c r="D84" s="167">
        <f>'EMPRESA-DATOS GENERALES'!E20</f>
        <v>2018</v>
      </c>
      <c r="E84" s="167">
        <f>'EMPRESA-DATOS GENERALES'!F20</f>
        <v>2019</v>
      </c>
      <c r="F84" s="168">
        <f>'EMPRESA-DATOS GENERALES'!G20</f>
        <v>2020</v>
      </c>
      <c r="G84" s="169"/>
      <c r="H84" s="204"/>
      <c r="I84" s="153"/>
    </row>
    <row r="85" spans="1:10" ht="25.5" x14ac:dyDescent="0.2">
      <c r="A85" s="157"/>
      <c r="B85" s="153"/>
      <c r="C85" s="170" t="s">
        <v>87</v>
      </c>
      <c r="D85" s="42"/>
      <c r="E85" s="42"/>
      <c r="F85" s="43"/>
      <c r="G85" s="171"/>
      <c r="H85" s="204"/>
      <c r="I85" s="153"/>
      <c r="J85" s="150" t="s">
        <v>230</v>
      </c>
    </row>
    <row r="86" spans="1:10" x14ac:dyDescent="0.2">
      <c r="A86" s="157"/>
      <c r="B86" s="153"/>
      <c r="C86" s="170" t="s">
        <v>88</v>
      </c>
      <c r="D86" s="181"/>
      <c r="E86" s="181"/>
      <c r="F86" s="182"/>
      <c r="G86" s="171"/>
      <c r="H86" s="204"/>
      <c r="I86" s="153"/>
      <c r="J86" s="146" t="s">
        <v>85</v>
      </c>
    </row>
    <row r="87" spans="1:10" ht="13.5" thickBot="1" x14ac:dyDescent="0.25">
      <c r="A87" s="157"/>
      <c r="B87" s="153"/>
      <c r="C87" s="172" t="s">
        <v>89</v>
      </c>
      <c r="D87" s="183"/>
      <c r="E87" s="183"/>
      <c r="F87" s="184"/>
      <c r="G87" s="171"/>
      <c r="H87" s="204"/>
      <c r="I87" s="153"/>
      <c r="J87" s="146" t="s">
        <v>76</v>
      </c>
    </row>
    <row r="88" spans="1:10" ht="38.25" x14ac:dyDescent="0.2">
      <c r="A88" s="157"/>
      <c r="B88" s="153"/>
      <c r="C88" s="173" t="s">
        <v>90</v>
      </c>
      <c r="D88" s="152"/>
      <c r="E88" s="174" t="s">
        <v>91</v>
      </c>
      <c r="F88" s="151"/>
      <c r="G88" s="171"/>
      <c r="H88" s="204"/>
      <c r="I88" s="153"/>
    </row>
    <row r="89" spans="1:10" ht="38.25" x14ac:dyDescent="0.2">
      <c r="A89" s="157"/>
      <c r="B89" s="153"/>
      <c r="C89" s="175" t="s">
        <v>92</v>
      </c>
      <c r="D89" s="44"/>
      <c r="E89" s="176" t="s">
        <v>93</v>
      </c>
      <c r="F89" s="45"/>
      <c r="G89" s="171"/>
      <c r="H89" s="204"/>
      <c r="I89" s="153"/>
    </row>
    <row r="90" spans="1:10" x14ac:dyDescent="0.2">
      <c r="A90" s="157"/>
      <c r="B90" s="153"/>
      <c r="C90" s="791" t="s">
        <v>94</v>
      </c>
      <c r="D90" s="1115"/>
      <c r="E90" s="1115"/>
      <c r="F90" s="1116"/>
      <c r="G90" s="153"/>
      <c r="H90" s="204"/>
      <c r="I90" s="153"/>
    </row>
    <row r="91" spans="1:10" x14ac:dyDescent="0.2">
      <c r="A91" s="157"/>
      <c r="B91" s="153"/>
      <c r="C91" s="791"/>
      <c r="D91" s="1115"/>
      <c r="E91" s="1115"/>
      <c r="F91" s="1116"/>
      <c r="G91" s="153"/>
      <c r="H91" s="204"/>
      <c r="I91" s="153"/>
    </row>
    <row r="92" spans="1:10" x14ac:dyDescent="0.2">
      <c r="A92" s="157"/>
      <c r="B92" s="153"/>
      <c r="C92" s="791"/>
      <c r="D92" s="1115"/>
      <c r="E92" s="1115"/>
      <c r="F92" s="1116"/>
      <c r="G92" s="153"/>
      <c r="H92" s="204"/>
      <c r="I92" s="153"/>
    </row>
    <row r="93" spans="1:10" ht="13.5" thickBot="1" x14ac:dyDescent="0.25">
      <c r="A93" s="157"/>
      <c r="B93" s="153"/>
      <c r="C93" s="1002"/>
      <c r="D93" s="1117"/>
      <c r="E93" s="1117"/>
      <c r="F93" s="1118"/>
      <c r="G93" s="153"/>
      <c r="H93" s="204"/>
      <c r="I93" s="153"/>
    </row>
    <row r="94" spans="1:10" ht="13.5" thickBot="1" x14ac:dyDescent="0.25">
      <c r="A94" s="157"/>
      <c r="B94" s="153"/>
      <c r="C94" s="153"/>
      <c r="D94" s="153"/>
      <c r="E94" s="153"/>
      <c r="F94" s="153"/>
      <c r="G94" s="153"/>
      <c r="H94" s="204"/>
      <c r="I94" s="153"/>
    </row>
    <row r="95" spans="1:10" x14ac:dyDescent="0.2">
      <c r="A95" s="157"/>
      <c r="B95" s="153"/>
      <c r="C95" s="166" t="s">
        <v>146</v>
      </c>
      <c r="D95" s="167">
        <f>$D$84</f>
        <v>2018</v>
      </c>
      <c r="E95" s="167">
        <f>$E$84</f>
        <v>2019</v>
      </c>
      <c r="F95" s="168">
        <f>$F$84</f>
        <v>2020</v>
      </c>
      <c r="G95" s="153"/>
      <c r="H95" s="204"/>
      <c r="I95" s="153"/>
    </row>
    <row r="96" spans="1:10" x14ac:dyDescent="0.2">
      <c r="A96" s="157"/>
      <c r="B96" s="153"/>
      <c r="C96" s="170" t="s">
        <v>87</v>
      </c>
      <c r="D96" s="42"/>
      <c r="E96" s="42"/>
      <c r="F96" s="43"/>
      <c r="G96" s="153"/>
      <c r="H96" s="204"/>
      <c r="I96" s="153"/>
    </row>
    <row r="97" spans="1:9" x14ac:dyDescent="0.2">
      <c r="A97" s="157"/>
      <c r="B97" s="153"/>
      <c r="C97" s="170" t="s">
        <v>88</v>
      </c>
      <c r="D97" s="181"/>
      <c r="E97" s="181"/>
      <c r="F97" s="182"/>
      <c r="G97" s="153"/>
      <c r="H97" s="204"/>
      <c r="I97" s="153"/>
    </row>
    <row r="98" spans="1:9" ht="13.5" thickBot="1" x14ac:dyDescent="0.25">
      <c r="A98" s="157"/>
      <c r="B98" s="153"/>
      <c r="C98" s="172" t="s">
        <v>89</v>
      </c>
      <c r="D98" s="183"/>
      <c r="E98" s="183"/>
      <c r="F98" s="184"/>
      <c r="G98" s="153"/>
      <c r="H98" s="204"/>
      <c r="I98" s="153"/>
    </row>
    <row r="99" spans="1:9" ht="38.25" x14ac:dyDescent="0.2">
      <c r="A99" s="157"/>
      <c r="B99" s="153"/>
      <c r="C99" s="173" t="s">
        <v>90</v>
      </c>
      <c r="D99" s="152"/>
      <c r="E99" s="174" t="s">
        <v>91</v>
      </c>
      <c r="F99" s="151"/>
      <c r="G99" s="153"/>
      <c r="H99" s="204"/>
      <c r="I99" s="153"/>
    </row>
    <row r="100" spans="1:9" ht="39" thickBot="1" x14ac:dyDescent="0.25">
      <c r="A100" s="157"/>
      <c r="B100" s="153"/>
      <c r="C100" s="179" t="s">
        <v>92</v>
      </c>
      <c r="D100" s="46"/>
      <c r="E100" s="180" t="s">
        <v>93</v>
      </c>
      <c r="F100" s="47"/>
      <c r="G100" s="153"/>
      <c r="H100" s="204"/>
      <c r="I100" s="153"/>
    </row>
    <row r="101" spans="1:9" ht="13.5" thickBot="1" x14ac:dyDescent="0.25">
      <c r="A101" s="157"/>
      <c r="B101" s="153"/>
      <c r="C101" s="153"/>
      <c r="D101" s="153"/>
      <c r="E101" s="153"/>
      <c r="F101" s="153"/>
      <c r="G101" s="153"/>
      <c r="H101" s="204"/>
      <c r="I101" s="153"/>
    </row>
    <row r="102" spans="1:9" x14ac:dyDescent="0.2">
      <c r="A102" s="157"/>
      <c r="B102" s="153"/>
      <c r="C102" s="166" t="s">
        <v>147</v>
      </c>
      <c r="D102" s="167">
        <f>$D$84</f>
        <v>2018</v>
      </c>
      <c r="E102" s="167">
        <f>$E$84</f>
        <v>2019</v>
      </c>
      <c r="F102" s="168">
        <f>$F$84</f>
        <v>2020</v>
      </c>
      <c r="G102" s="153"/>
      <c r="H102" s="204"/>
      <c r="I102" s="153"/>
    </row>
    <row r="103" spans="1:9" x14ac:dyDescent="0.2">
      <c r="A103" s="157"/>
      <c r="B103" s="153"/>
      <c r="C103" s="170" t="s">
        <v>87</v>
      </c>
      <c r="D103" s="42"/>
      <c r="E103" s="42"/>
      <c r="F103" s="43"/>
      <c r="G103" s="153"/>
      <c r="H103" s="204"/>
      <c r="I103" s="153"/>
    </row>
    <row r="104" spans="1:9" x14ac:dyDescent="0.2">
      <c r="A104" s="157"/>
      <c r="B104" s="153"/>
      <c r="C104" s="170" t="s">
        <v>88</v>
      </c>
      <c r="D104" s="181"/>
      <c r="E104" s="181"/>
      <c r="F104" s="182"/>
      <c r="G104" s="153"/>
      <c r="H104" s="204"/>
      <c r="I104" s="153"/>
    </row>
    <row r="105" spans="1:9" ht="13.5" thickBot="1" x14ac:dyDescent="0.25">
      <c r="A105" s="157"/>
      <c r="B105" s="153"/>
      <c r="C105" s="172" t="s">
        <v>89</v>
      </c>
      <c r="D105" s="183"/>
      <c r="E105" s="183"/>
      <c r="F105" s="184"/>
      <c r="G105" s="153"/>
      <c r="H105" s="204"/>
      <c r="I105" s="153"/>
    </row>
    <row r="106" spans="1:9" ht="38.25" x14ac:dyDescent="0.2">
      <c r="A106" s="157"/>
      <c r="B106" s="153"/>
      <c r="C106" s="173" t="s">
        <v>90</v>
      </c>
      <c r="D106" s="152"/>
      <c r="E106" s="174" t="s">
        <v>91</v>
      </c>
      <c r="F106" s="151"/>
      <c r="G106" s="153"/>
      <c r="H106" s="204"/>
      <c r="I106" s="153"/>
    </row>
    <row r="107" spans="1:9" ht="39" thickBot="1" x14ac:dyDescent="0.25">
      <c r="A107" s="157"/>
      <c r="B107" s="153"/>
      <c r="C107" s="179" t="s">
        <v>92</v>
      </c>
      <c r="D107" s="46"/>
      <c r="E107" s="180" t="s">
        <v>93</v>
      </c>
      <c r="F107" s="47"/>
      <c r="G107" s="153"/>
      <c r="H107" s="204"/>
      <c r="I107" s="153"/>
    </row>
    <row r="108" spans="1:9" ht="13.5" thickBot="1" x14ac:dyDescent="0.25">
      <c r="A108" s="157"/>
      <c r="B108" s="153"/>
      <c r="C108" s="153"/>
      <c r="D108" s="153"/>
      <c r="E108" s="153"/>
      <c r="F108" s="153"/>
      <c r="G108" s="153"/>
      <c r="H108" s="204"/>
      <c r="I108" s="153"/>
    </row>
    <row r="109" spans="1:9" x14ac:dyDescent="0.2">
      <c r="A109" s="157"/>
      <c r="B109" s="153"/>
      <c r="C109" s="166" t="s">
        <v>148</v>
      </c>
      <c r="D109" s="167">
        <f>$D$84</f>
        <v>2018</v>
      </c>
      <c r="E109" s="167">
        <f>$E$84</f>
        <v>2019</v>
      </c>
      <c r="F109" s="168">
        <f>$F$84</f>
        <v>2020</v>
      </c>
      <c r="G109" s="153"/>
      <c r="H109" s="204"/>
      <c r="I109" s="153"/>
    </row>
    <row r="110" spans="1:9" x14ac:dyDescent="0.2">
      <c r="A110" s="157"/>
      <c r="B110" s="153"/>
      <c r="C110" s="170" t="s">
        <v>87</v>
      </c>
      <c r="D110" s="42"/>
      <c r="E110" s="42"/>
      <c r="F110" s="43"/>
      <c r="G110" s="153"/>
      <c r="H110" s="204"/>
      <c r="I110" s="153"/>
    </row>
    <row r="111" spans="1:9" x14ac:dyDescent="0.2">
      <c r="A111" s="157"/>
      <c r="B111" s="153"/>
      <c r="C111" s="170" t="s">
        <v>88</v>
      </c>
      <c r="D111" s="181"/>
      <c r="E111" s="181"/>
      <c r="F111" s="182"/>
      <c r="G111" s="153"/>
      <c r="H111" s="204"/>
      <c r="I111" s="153"/>
    </row>
    <row r="112" spans="1:9" ht="13.5" thickBot="1" x14ac:dyDescent="0.25">
      <c r="A112" s="157"/>
      <c r="B112" s="153"/>
      <c r="C112" s="172" t="s">
        <v>89</v>
      </c>
      <c r="D112" s="183"/>
      <c r="E112" s="183"/>
      <c r="F112" s="184"/>
      <c r="G112" s="153"/>
      <c r="H112" s="204"/>
      <c r="I112" s="153"/>
    </row>
    <row r="113" spans="1:9" ht="38.25" x14ac:dyDescent="0.2">
      <c r="A113" s="157"/>
      <c r="B113" s="153"/>
      <c r="C113" s="173" t="s">
        <v>90</v>
      </c>
      <c r="D113" s="152"/>
      <c r="E113" s="174" t="s">
        <v>91</v>
      </c>
      <c r="F113" s="151"/>
      <c r="G113" s="153"/>
      <c r="H113" s="204"/>
      <c r="I113" s="153"/>
    </row>
    <row r="114" spans="1:9" ht="39" thickBot="1" x14ac:dyDescent="0.25">
      <c r="A114" s="157"/>
      <c r="B114" s="153"/>
      <c r="C114" s="179" t="s">
        <v>92</v>
      </c>
      <c r="D114" s="46"/>
      <c r="E114" s="180" t="s">
        <v>93</v>
      </c>
      <c r="F114" s="47"/>
      <c r="G114" s="153"/>
      <c r="H114" s="204"/>
      <c r="I114" s="153"/>
    </row>
    <row r="115" spans="1:9" ht="13.5" thickBot="1" x14ac:dyDescent="0.25">
      <c r="A115" s="157"/>
      <c r="B115" s="153"/>
      <c r="C115" s="153"/>
      <c r="D115" s="153"/>
      <c r="E115" s="153"/>
      <c r="F115" s="153"/>
      <c r="G115" s="153"/>
      <c r="H115" s="204"/>
      <c r="I115" s="153"/>
    </row>
    <row r="116" spans="1:9" x14ac:dyDescent="0.2">
      <c r="A116" s="157"/>
      <c r="B116" s="153"/>
      <c r="C116" s="166" t="s">
        <v>149</v>
      </c>
      <c r="D116" s="167">
        <f>$D$84</f>
        <v>2018</v>
      </c>
      <c r="E116" s="167">
        <f>$E$84</f>
        <v>2019</v>
      </c>
      <c r="F116" s="168">
        <f>$F$84</f>
        <v>2020</v>
      </c>
      <c r="G116" s="153"/>
      <c r="H116" s="204"/>
      <c r="I116" s="153"/>
    </row>
    <row r="117" spans="1:9" x14ac:dyDescent="0.2">
      <c r="A117" s="157"/>
      <c r="B117" s="153"/>
      <c r="C117" s="170" t="s">
        <v>87</v>
      </c>
      <c r="D117" s="42"/>
      <c r="E117" s="42"/>
      <c r="F117" s="43"/>
      <c r="G117" s="153"/>
      <c r="H117" s="204"/>
      <c r="I117" s="153"/>
    </row>
    <row r="118" spans="1:9" x14ac:dyDescent="0.2">
      <c r="A118" s="157"/>
      <c r="B118" s="153"/>
      <c r="C118" s="170" t="s">
        <v>88</v>
      </c>
      <c r="D118" s="181"/>
      <c r="E118" s="181"/>
      <c r="F118" s="182"/>
      <c r="G118" s="153"/>
      <c r="H118" s="204"/>
      <c r="I118" s="153"/>
    </row>
    <row r="119" spans="1:9" ht="13.5" thickBot="1" x14ac:dyDescent="0.25">
      <c r="A119" s="157"/>
      <c r="B119" s="153"/>
      <c r="C119" s="172" t="s">
        <v>89</v>
      </c>
      <c r="D119" s="183"/>
      <c r="E119" s="183"/>
      <c r="F119" s="184"/>
      <c r="G119" s="153"/>
      <c r="H119" s="204"/>
      <c r="I119" s="153"/>
    </row>
    <row r="120" spans="1:9" ht="38.25" x14ac:dyDescent="0.2">
      <c r="A120" s="157"/>
      <c r="B120" s="153"/>
      <c r="C120" s="173" t="s">
        <v>90</v>
      </c>
      <c r="D120" s="152"/>
      <c r="E120" s="174" t="s">
        <v>91</v>
      </c>
      <c r="F120" s="151"/>
      <c r="G120" s="153"/>
      <c r="H120" s="204"/>
      <c r="I120" s="153"/>
    </row>
    <row r="121" spans="1:9" ht="39" thickBot="1" x14ac:dyDescent="0.25">
      <c r="A121" s="157"/>
      <c r="B121" s="153"/>
      <c r="C121" s="179" t="s">
        <v>92</v>
      </c>
      <c r="D121" s="46"/>
      <c r="E121" s="180" t="s">
        <v>93</v>
      </c>
      <c r="F121" s="47"/>
      <c r="G121" s="153"/>
      <c r="H121" s="204"/>
      <c r="I121" s="153"/>
    </row>
    <row r="122" spans="1:9" ht="13.5" thickBot="1" x14ac:dyDescent="0.25">
      <c r="A122" s="157"/>
      <c r="B122" s="153"/>
      <c r="C122" s="153"/>
      <c r="D122" s="153"/>
      <c r="E122" s="153"/>
      <c r="F122" s="153"/>
      <c r="G122" s="153"/>
      <c r="H122" s="204"/>
      <c r="I122" s="153"/>
    </row>
    <row r="123" spans="1:9" x14ac:dyDescent="0.2">
      <c r="A123" s="157"/>
      <c r="B123" s="153"/>
      <c r="C123" s="166" t="s">
        <v>150</v>
      </c>
      <c r="D123" s="167">
        <f>$D$84</f>
        <v>2018</v>
      </c>
      <c r="E123" s="167">
        <f>$E$84</f>
        <v>2019</v>
      </c>
      <c r="F123" s="168">
        <f>$F$84</f>
        <v>2020</v>
      </c>
      <c r="G123" s="153"/>
      <c r="H123" s="204"/>
      <c r="I123" s="153"/>
    </row>
    <row r="124" spans="1:9" x14ac:dyDescent="0.2">
      <c r="A124" s="157"/>
      <c r="B124" s="153"/>
      <c r="C124" s="170" t="s">
        <v>87</v>
      </c>
      <c r="D124" s="42"/>
      <c r="E124" s="42"/>
      <c r="F124" s="43"/>
      <c r="G124" s="153"/>
      <c r="H124" s="204"/>
      <c r="I124" s="153"/>
    </row>
    <row r="125" spans="1:9" x14ac:dyDescent="0.2">
      <c r="A125" s="157"/>
      <c r="B125" s="153"/>
      <c r="C125" s="170" t="s">
        <v>88</v>
      </c>
      <c r="D125" s="181"/>
      <c r="E125" s="181"/>
      <c r="F125" s="182"/>
      <c r="G125" s="153"/>
      <c r="H125" s="204"/>
      <c r="I125" s="153"/>
    </row>
    <row r="126" spans="1:9" ht="13.5" thickBot="1" x14ac:dyDescent="0.25">
      <c r="A126" s="157"/>
      <c r="B126" s="153"/>
      <c r="C126" s="172" t="s">
        <v>89</v>
      </c>
      <c r="D126" s="183"/>
      <c r="E126" s="183"/>
      <c r="F126" s="184"/>
      <c r="G126" s="153"/>
      <c r="H126" s="204"/>
      <c r="I126" s="153"/>
    </row>
    <row r="127" spans="1:9" ht="38.25" x14ac:dyDescent="0.2">
      <c r="A127" s="157"/>
      <c r="B127" s="153"/>
      <c r="C127" s="173" t="s">
        <v>90</v>
      </c>
      <c r="D127" s="152"/>
      <c r="E127" s="174" t="s">
        <v>91</v>
      </c>
      <c r="F127" s="151"/>
      <c r="G127" s="153"/>
      <c r="H127" s="204"/>
      <c r="I127" s="153"/>
    </row>
    <row r="128" spans="1:9" ht="39" thickBot="1" x14ac:dyDescent="0.25">
      <c r="A128" s="157"/>
      <c r="B128" s="153"/>
      <c r="C128" s="179" t="s">
        <v>92</v>
      </c>
      <c r="D128" s="46"/>
      <c r="E128" s="180" t="s">
        <v>93</v>
      </c>
      <c r="F128" s="47"/>
      <c r="G128" s="153"/>
      <c r="H128" s="204"/>
      <c r="I128" s="153"/>
    </row>
    <row r="129" spans="1:9" ht="13.5" thickBot="1" x14ac:dyDescent="0.25">
      <c r="A129" s="157"/>
      <c r="B129" s="153"/>
      <c r="C129" s="153"/>
      <c r="D129" s="153"/>
      <c r="E129" s="153"/>
      <c r="F129" s="153"/>
      <c r="G129" s="153"/>
      <c r="H129" s="204"/>
      <c r="I129" s="153"/>
    </row>
    <row r="130" spans="1:9" x14ac:dyDescent="0.2">
      <c r="A130" s="157"/>
      <c r="B130" s="153"/>
      <c r="C130" s="166" t="s">
        <v>151</v>
      </c>
      <c r="D130" s="167">
        <f>$D$84</f>
        <v>2018</v>
      </c>
      <c r="E130" s="167">
        <f>$E$84</f>
        <v>2019</v>
      </c>
      <c r="F130" s="168">
        <f>$F$84</f>
        <v>2020</v>
      </c>
      <c r="G130" s="153"/>
      <c r="H130" s="204"/>
      <c r="I130" s="153"/>
    </row>
    <row r="131" spans="1:9" x14ac:dyDescent="0.2">
      <c r="A131" s="157"/>
      <c r="B131" s="153"/>
      <c r="C131" s="170" t="s">
        <v>87</v>
      </c>
      <c r="D131" s="42"/>
      <c r="E131" s="42"/>
      <c r="F131" s="43"/>
      <c r="G131" s="153"/>
      <c r="H131" s="204"/>
      <c r="I131" s="153"/>
    </row>
    <row r="132" spans="1:9" x14ac:dyDescent="0.2">
      <c r="A132" s="157"/>
      <c r="B132" s="153"/>
      <c r="C132" s="170" t="s">
        <v>88</v>
      </c>
      <c r="D132" s="181"/>
      <c r="E132" s="181"/>
      <c r="F132" s="182"/>
      <c r="G132" s="153"/>
      <c r="H132" s="204"/>
      <c r="I132" s="153"/>
    </row>
    <row r="133" spans="1:9" ht="13.5" thickBot="1" x14ac:dyDescent="0.25">
      <c r="A133" s="157"/>
      <c r="B133" s="153"/>
      <c r="C133" s="172" t="s">
        <v>89</v>
      </c>
      <c r="D133" s="183"/>
      <c r="E133" s="183"/>
      <c r="F133" s="184"/>
      <c r="G133" s="153"/>
      <c r="H133" s="204"/>
      <c r="I133" s="153"/>
    </row>
    <row r="134" spans="1:9" ht="38.25" x14ac:dyDescent="0.2">
      <c r="C134" s="173" t="s">
        <v>90</v>
      </c>
      <c r="D134" s="152"/>
      <c r="E134" s="174" t="s">
        <v>91</v>
      </c>
      <c r="F134" s="151"/>
      <c r="H134" s="204"/>
    </row>
    <row r="135" spans="1:9" ht="39" thickBot="1" x14ac:dyDescent="0.25">
      <c r="C135" s="179" t="s">
        <v>92</v>
      </c>
      <c r="D135" s="46"/>
      <c r="E135" s="180" t="s">
        <v>93</v>
      </c>
      <c r="F135" s="47"/>
      <c r="H135" s="204"/>
    </row>
    <row r="136" spans="1:9" ht="13.5" thickBot="1" x14ac:dyDescent="0.25">
      <c r="H136" s="204"/>
    </row>
    <row r="137" spans="1:9" x14ac:dyDescent="0.2">
      <c r="C137" s="166" t="s">
        <v>152</v>
      </c>
      <c r="D137" s="167">
        <f>$D$84</f>
        <v>2018</v>
      </c>
      <c r="E137" s="167">
        <f>$E$84</f>
        <v>2019</v>
      </c>
      <c r="F137" s="168">
        <f>$F$84</f>
        <v>2020</v>
      </c>
      <c r="H137" s="204"/>
    </row>
    <row r="138" spans="1:9" x14ac:dyDescent="0.2">
      <c r="C138" s="170" t="s">
        <v>87</v>
      </c>
      <c r="D138" s="42"/>
      <c r="E138" s="42"/>
      <c r="F138" s="43"/>
      <c r="H138" s="204"/>
    </row>
    <row r="139" spans="1:9" x14ac:dyDescent="0.2">
      <c r="C139" s="170" t="s">
        <v>88</v>
      </c>
      <c r="D139" s="181"/>
      <c r="E139" s="181"/>
      <c r="F139" s="182"/>
      <c r="H139" s="204"/>
    </row>
    <row r="140" spans="1:9" ht="13.5" thickBot="1" x14ac:dyDescent="0.25">
      <c r="C140" s="172" t="s">
        <v>89</v>
      </c>
      <c r="D140" s="183"/>
      <c r="E140" s="183"/>
      <c r="F140" s="184"/>
      <c r="H140" s="204"/>
    </row>
    <row r="141" spans="1:9" ht="38.25" x14ac:dyDescent="0.2">
      <c r="C141" s="173" t="s">
        <v>90</v>
      </c>
      <c r="D141" s="152"/>
      <c r="E141" s="174" t="s">
        <v>91</v>
      </c>
      <c r="F141" s="151"/>
      <c r="H141" s="204"/>
    </row>
    <row r="142" spans="1:9" ht="39" thickBot="1" x14ac:dyDescent="0.25">
      <c r="C142" s="179" t="s">
        <v>92</v>
      </c>
      <c r="D142" s="46"/>
      <c r="E142" s="180" t="s">
        <v>93</v>
      </c>
      <c r="F142" s="47"/>
    </row>
    <row r="143" spans="1:9" ht="13.5" thickBot="1" x14ac:dyDescent="0.25"/>
    <row r="144" spans="1:9" x14ac:dyDescent="0.2">
      <c r="C144" s="166" t="s">
        <v>153</v>
      </c>
      <c r="D144" s="167">
        <f>$D$84</f>
        <v>2018</v>
      </c>
      <c r="E144" s="167">
        <f>$E$84</f>
        <v>2019</v>
      </c>
      <c r="F144" s="168">
        <f>$F$84</f>
        <v>2020</v>
      </c>
    </row>
    <row r="145" spans="3:6" x14ac:dyDescent="0.2">
      <c r="C145" s="170" t="s">
        <v>87</v>
      </c>
      <c r="D145" s="42"/>
      <c r="E145" s="42"/>
      <c r="F145" s="43"/>
    </row>
    <row r="146" spans="3:6" x14ac:dyDescent="0.2">
      <c r="C146" s="170" t="s">
        <v>88</v>
      </c>
      <c r="D146" s="181"/>
      <c r="E146" s="181"/>
      <c r="F146" s="182"/>
    </row>
    <row r="147" spans="3:6" ht="13.5" thickBot="1" x14ac:dyDescent="0.25">
      <c r="C147" s="172" t="s">
        <v>89</v>
      </c>
      <c r="D147" s="183"/>
      <c r="E147" s="183"/>
      <c r="F147" s="184"/>
    </row>
    <row r="148" spans="3:6" ht="38.25" x14ac:dyDescent="0.2">
      <c r="C148" s="173" t="s">
        <v>90</v>
      </c>
      <c r="D148" s="152"/>
      <c r="E148" s="174" t="s">
        <v>91</v>
      </c>
      <c r="F148" s="151"/>
    </row>
    <row r="149" spans="3:6" ht="39" thickBot="1" x14ac:dyDescent="0.25">
      <c r="C149" s="179" t="s">
        <v>92</v>
      </c>
      <c r="D149" s="46"/>
      <c r="E149" s="180" t="s">
        <v>93</v>
      </c>
      <c r="F149" s="47"/>
    </row>
    <row r="150" spans="3:6" ht="13.5" thickBot="1" x14ac:dyDescent="0.25"/>
    <row r="151" spans="3:6" x14ac:dyDescent="0.2">
      <c r="C151" s="166" t="s">
        <v>154</v>
      </c>
      <c r="D151" s="167">
        <f>$D$84</f>
        <v>2018</v>
      </c>
      <c r="E151" s="167">
        <f>$E$84</f>
        <v>2019</v>
      </c>
      <c r="F151" s="168">
        <f>$F$84</f>
        <v>2020</v>
      </c>
    </row>
    <row r="152" spans="3:6" x14ac:dyDescent="0.2">
      <c r="C152" s="170" t="s">
        <v>87</v>
      </c>
      <c r="D152" s="42"/>
      <c r="E152" s="42"/>
      <c r="F152" s="43"/>
    </row>
    <row r="153" spans="3:6" x14ac:dyDescent="0.2">
      <c r="C153" s="170" t="s">
        <v>88</v>
      </c>
      <c r="D153" s="181"/>
      <c r="E153" s="181"/>
      <c r="F153" s="182"/>
    </row>
    <row r="154" spans="3:6" ht="13.5" thickBot="1" x14ac:dyDescent="0.25">
      <c r="C154" s="172" t="s">
        <v>89</v>
      </c>
      <c r="D154" s="183"/>
      <c r="E154" s="183"/>
      <c r="F154" s="184"/>
    </row>
    <row r="155" spans="3:6" ht="38.25" x14ac:dyDescent="0.2">
      <c r="C155" s="173" t="s">
        <v>90</v>
      </c>
      <c r="D155" s="152"/>
      <c r="E155" s="174" t="s">
        <v>91</v>
      </c>
      <c r="F155" s="151"/>
    </row>
    <row r="156" spans="3:6" ht="39" thickBot="1" x14ac:dyDescent="0.25">
      <c r="C156" s="179" t="s">
        <v>92</v>
      </c>
      <c r="D156" s="46"/>
      <c r="E156" s="180" t="s">
        <v>93</v>
      </c>
      <c r="F156" s="47"/>
    </row>
    <row r="157" spans="3:6" ht="13.5" thickBot="1" x14ac:dyDescent="0.25"/>
    <row r="158" spans="3:6" x14ac:dyDescent="0.2">
      <c r="C158" s="166" t="s">
        <v>387</v>
      </c>
      <c r="D158" s="167">
        <f>$D$84</f>
        <v>2018</v>
      </c>
      <c r="E158" s="167">
        <f>$E$84</f>
        <v>2019</v>
      </c>
      <c r="F158" s="168">
        <f>$F$84</f>
        <v>2020</v>
      </c>
    </row>
    <row r="159" spans="3:6" x14ac:dyDescent="0.2">
      <c r="C159" s="170" t="s">
        <v>87</v>
      </c>
      <c r="D159" s="42"/>
      <c r="E159" s="42"/>
      <c r="F159" s="43"/>
    </row>
    <row r="160" spans="3:6" x14ac:dyDescent="0.2">
      <c r="C160" s="170" t="s">
        <v>88</v>
      </c>
      <c r="D160" s="181"/>
      <c r="E160" s="181"/>
      <c r="F160" s="182"/>
    </row>
    <row r="161" spans="3:6" ht="13.5" thickBot="1" x14ac:dyDescent="0.25">
      <c r="C161" s="172" t="s">
        <v>89</v>
      </c>
      <c r="D161" s="183"/>
      <c r="E161" s="183"/>
      <c r="F161" s="184"/>
    </row>
    <row r="162" spans="3:6" ht="38.25" x14ac:dyDescent="0.2">
      <c r="C162" s="173" t="s">
        <v>90</v>
      </c>
      <c r="D162" s="152"/>
      <c r="E162" s="174" t="s">
        <v>91</v>
      </c>
      <c r="F162" s="151"/>
    </row>
    <row r="163" spans="3:6" ht="39" thickBot="1" x14ac:dyDescent="0.25">
      <c r="C163" s="179" t="s">
        <v>92</v>
      </c>
      <c r="D163" s="46"/>
      <c r="E163" s="180" t="s">
        <v>93</v>
      </c>
      <c r="F163" s="47"/>
    </row>
    <row r="164" spans="3:6" ht="13.5" thickBot="1" x14ac:dyDescent="0.25"/>
    <row r="165" spans="3:6" x14ac:dyDescent="0.2">
      <c r="C165" s="166" t="s">
        <v>388</v>
      </c>
      <c r="D165" s="167">
        <f>$D$84</f>
        <v>2018</v>
      </c>
      <c r="E165" s="167">
        <f>$E$84</f>
        <v>2019</v>
      </c>
      <c r="F165" s="168">
        <f>$F$84</f>
        <v>2020</v>
      </c>
    </row>
    <row r="166" spans="3:6" x14ac:dyDescent="0.2">
      <c r="C166" s="170" t="s">
        <v>87</v>
      </c>
      <c r="D166" s="42"/>
      <c r="E166" s="42"/>
      <c r="F166" s="43"/>
    </row>
    <row r="167" spans="3:6" x14ac:dyDescent="0.2">
      <c r="C167" s="170" t="s">
        <v>88</v>
      </c>
      <c r="D167" s="181"/>
      <c r="E167" s="181"/>
      <c r="F167" s="182"/>
    </row>
    <row r="168" spans="3:6" ht="13.5" thickBot="1" x14ac:dyDescent="0.25">
      <c r="C168" s="172" t="s">
        <v>89</v>
      </c>
      <c r="D168" s="183"/>
      <c r="E168" s="183"/>
      <c r="F168" s="184"/>
    </row>
    <row r="169" spans="3:6" ht="38.25" x14ac:dyDescent="0.2">
      <c r="C169" s="173" t="s">
        <v>90</v>
      </c>
      <c r="D169" s="152"/>
      <c r="E169" s="174" t="s">
        <v>91</v>
      </c>
      <c r="F169" s="151"/>
    </row>
    <row r="170" spans="3:6" ht="39" thickBot="1" x14ac:dyDescent="0.25">
      <c r="C170" s="179" t="s">
        <v>92</v>
      </c>
      <c r="D170" s="46"/>
      <c r="E170" s="180" t="s">
        <v>93</v>
      </c>
      <c r="F170" s="47"/>
    </row>
    <row r="171" spans="3:6" ht="13.5" thickBot="1" x14ac:dyDescent="0.25"/>
    <row r="172" spans="3:6" x14ac:dyDescent="0.2">
      <c r="C172" s="166" t="s">
        <v>389</v>
      </c>
      <c r="D172" s="167">
        <f>$D$84</f>
        <v>2018</v>
      </c>
      <c r="E172" s="167">
        <f>$E$84</f>
        <v>2019</v>
      </c>
      <c r="F172" s="168">
        <f>$F$84</f>
        <v>2020</v>
      </c>
    </row>
    <row r="173" spans="3:6" x14ac:dyDescent="0.2">
      <c r="C173" s="170" t="s">
        <v>87</v>
      </c>
      <c r="D173" s="42"/>
      <c r="E173" s="42"/>
      <c r="F173" s="43"/>
    </row>
    <row r="174" spans="3:6" x14ac:dyDescent="0.2">
      <c r="C174" s="170" t="s">
        <v>88</v>
      </c>
      <c r="D174" s="181"/>
      <c r="E174" s="181"/>
      <c r="F174" s="182"/>
    </row>
    <row r="175" spans="3:6" ht="13.5" thickBot="1" x14ac:dyDescent="0.25">
      <c r="C175" s="172" t="s">
        <v>89</v>
      </c>
      <c r="D175" s="183"/>
      <c r="E175" s="183"/>
      <c r="F175" s="184"/>
    </row>
    <row r="176" spans="3:6" ht="38.25" x14ac:dyDescent="0.2">
      <c r="C176" s="173" t="s">
        <v>90</v>
      </c>
      <c r="D176" s="152"/>
      <c r="E176" s="174" t="s">
        <v>91</v>
      </c>
      <c r="F176" s="151"/>
    </row>
    <row r="177" spans="3:6" ht="39" thickBot="1" x14ac:dyDescent="0.25">
      <c r="C177" s="179" t="s">
        <v>92</v>
      </c>
      <c r="D177" s="46"/>
      <c r="E177" s="180" t="s">
        <v>93</v>
      </c>
      <c r="F177" s="47"/>
    </row>
    <row r="178" spans="3:6" ht="13.5" thickBot="1" x14ac:dyDescent="0.25"/>
    <row r="179" spans="3:6" x14ac:dyDescent="0.2">
      <c r="C179" s="166" t="s">
        <v>390</v>
      </c>
      <c r="D179" s="167">
        <f>$D$84</f>
        <v>2018</v>
      </c>
      <c r="E179" s="167">
        <f>$E$84</f>
        <v>2019</v>
      </c>
      <c r="F179" s="168">
        <f>$F$84</f>
        <v>2020</v>
      </c>
    </row>
    <row r="180" spans="3:6" x14ac:dyDescent="0.2">
      <c r="C180" s="170" t="s">
        <v>87</v>
      </c>
      <c r="D180" s="42"/>
      <c r="E180" s="42"/>
      <c r="F180" s="43"/>
    </row>
    <row r="181" spans="3:6" x14ac:dyDescent="0.2">
      <c r="C181" s="170" t="s">
        <v>88</v>
      </c>
      <c r="D181" s="181"/>
      <c r="E181" s="181"/>
      <c r="F181" s="182"/>
    </row>
    <row r="182" spans="3:6" ht="13.5" thickBot="1" x14ac:dyDescent="0.25">
      <c r="C182" s="172" t="s">
        <v>89</v>
      </c>
      <c r="D182" s="183"/>
      <c r="E182" s="183"/>
      <c r="F182" s="184"/>
    </row>
    <row r="183" spans="3:6" ht="38.25" x14ac:dyDescent="0.2">
      <c r="C183" s="173" t="s">
        <v>90</v>
      </c>
      <c r="D183" s="152"/>
      <c r="E183" s="174" t="s">
        <v>91</v>
      </c>
      <c r="F183" s="151"/>
    </row>
    <row r="184" spans="3:6" ht="39" thickBot="1" x14ac:dyDescent="0.25">
      <c r="C184" s="179" t="s">
        <v>92</v>
      </c>
      <c r="D184" s="46"/>
      <c r="E184" s="180" t="s">
        <v>93</v>
      </c>
      <c r="F184" s="47"/>
    </row>
    <row r="185" spans="3:6" ht="13.5" thickBot="1" x14ac:dyDescent="0.25"/>
    <row r="186" spans="3:6" x14ac:dyDescent="0.2">
      <c r="C186" s="166" t="s">
        <v>391</v>
      </c>
      <c r="D186" s="167">
        <f>$D$84</f>
        <v>2018</v>
      </c>
      <c r="E186" s="167">
        <f>$E$84</f>
        <v>2019</v>
      </c>
      <c r="F186" s="168">
        <f>$F$84</f>
        <v>2020</v>
      </c>
    </row>
    <row r="187" spans="3:6" x14ac:dyDescent="0.2">
      <c r="C187" s="170" t="s">
        <v>87</v>
      </c>
      <c r="D187" s="42"/>
      <c r="E187" s="42"/>
      <c r="F187" s="43"/>
    </row>
    <row r="188" spans="3:6" x14ac:dyDescent="0.2">
      <c r="C188" s="170" t="s">
        <v>88</v>
      </c>
      <c r="D188" s="181"/>
      <c r="E188" s="181"/>
      <c r="F188" s="182"/>
    </row>
    <row r="189" spans="3:6" ht="13.5" thickBot="1" x14ac:dyDescent="0.25">
      <c r="C189" s="172" t="s">
        <v>89</v>
      </c>
      <c r="D189" s="183"/>
      <c r="E189" s="183"/>
      <c r="F189" s="184"/>
    </row>
    <row r="190" spans="3:6" ht="38.25" x14ac:dyDescent="0.2">
      <c r="C190" s="173" t="s">
        <v>90</v>
      </c>
      <c r="D190" s="152"/>
      <c r="E190" s="174" t="s">
        <v>91</v>
      </c>
      <c r="F190" s="151"/>
    </row>
    <row r="191" spans="3:6" ht="39" thickBot="1" x14ac:dyDescent="0.25">
      <c r="C191" s="179" t="s">
        <v>92</v>
      </c>
      <c r="D191" s="46"/>
      <c r="E191" s="180" t="s">
        <v>93</v>
      </c>
      <c r="F191" s="47"/>
    </row>
    <row r="192" spans="3:6" x14ac:dyDescent="0.2"/>
    <row r="65536" hidden="1" x14ac:dyDescent="0.2"/>
  </sheetData>
  <sheetProtection password="DD66" sheet="1" selectLockedCells="1"/>
  <mergeCells count="97">
    <mergeCell ref="B59:C59"/>
    <mergeCell ref="B42:F42"/>
    <mergeCell ref="B51:F51"/>
    <mergeCell ref="C90:F93"/>
    <mergeCell ref="B57:C57"/>
    <mergeCell ref="B58:C58"/>
    <mergeCell ref="F69:G69"/>
    <mergeCell ref="B52:F52"/>
    <mergeCell ref="B55:C55"/>
    <mergeCell ref="F59:G59"/>
    <mergeCell ref="B79:G82"/>
    <mergeCell ref="F76:G76"/>
    <mergeCell ref="B76:C76"/>
    <mergeCell ref="F77:G77"/>
    <mergeCell ref="B77:C77"/>
    <mergeCell ref="B75:C75"/>
    <mergeCell ref="F75:G75"/>
    <mergeCell ref="B33:G33"/>
    <mergeCell ref="B26:F26"/>
    <mergeCell ref="B27:F27"/>
    <mergeCell ref="B34:F34"/>
    <mergeCell ref="B41:F41"/>
    <mergeCell ref="B50:F50"/>
    <mergeCell ref="B49:F49"/>
    <mergeCell ref="B18:F18"/>
    <mergeCell ref="B19:F19"/>
    <mergeCell ref="B20:F20"/>
    <mergeCell ref="B21:F21"/>
    <mergeCell ref="B22:F22"/>
    <mergeCell ref="B36:F36"/>
    <mergeCell ref="B37:F37"/>
    <mergeCell ref="B38:F38"/>
    <mergeCell ref="B39:F39"/>
    <mergeCell ref="B40:F40"/>
    <mergeCell ref="B47:F47"/>
    <mergeCell ref="B48:F48"/>
    <mergeCell ref="B46:F46"/>
    <mergeCell ref="B35:F35"/>
    <mergeCell ref="B69:C69"/>
    <mergeCell ref="B70:C70"/>
    <mergeCell ref="F70:G70"/>
    <mergeCell ref="F72:G72"/>
    <mergeCell ref="F60:G60"/>
    <mergeCell ref="B63:C63"/>
    <mergeCell ref="B64:C64"/>
    <mergeCell ref="B65:C65"/>
    <mergeCell ref="B66:C66"/>
    <mergeCell ref="B67:C67"/>
    <mergeCell ref="B68:C68"/>
    <mergeCell ref="F63:G63"/>
    <mergeCell ref="F64:G64"/>
    <mergeCell ref="F65:G65"/>
    <mergeCell ref="F66:G66"/>
    <mergeCell ref="B74:C74"/>
    <mergeCell ref="F74:G74"/>
    <mergeCell ref="B71:C71"/>
    <mergeCell ref="F71:G71"/>
    <mergeCell ref="B72:C72"/>
    <mergeCell ref="B73:C73"/>
    <mergeCell ref="F73:G73"/>
    <mergeCell ref="B24:F24"/>
    <mergeCell ref="B25:F25"/>
    <mergeCell ref="B30:F30"/>
    <mergeCell ref="B14:F14"/>
    <mergeCell ref="B15:F15"/>
    <mergeCell ref="B16:F16"/>
    <mergeCell ref="B17:F17"/>
    <mergeCell ref="B28:F28"/>
    <mergeCell ref="B29:F29"/>
    <mergeCell ref="A2:G2"/>
    <mergeCell ref="A4:G4"/>
    <mergeCell ref="C5:D5"/>
    <mergeCell ref="B9:F9"/>
    <mergeCell ref="B23:F23"/>
    <mergeCell ref="C3:G3"/>
    <mergeCell ref="B7:G7"/>
    <mergeCell ref="B8:F8"/>
    <mergeCell ref="B10:F10"/>
    <mergeCell ref="B11:F11"/>
    <mergeCell ref="B12:F12"/>
    <mergeCell ref="B13:F13"/>
    <mergeCell ref="F67:G67"/>
    <mergeCell ref="F68:G68"/>
    <mergeCell ref="B43:F43"/>
    <mergeCell ref="B44:F44"/>
    <mergeCell ref="B61:C61"/>
    <mergeCell ref="B62:C62"/>
    <mergeCell ref="F61:G61"/>
    <mergeCell ref="F62:G62"/>
    <mergeCell ref="B45:F45"/>
    <mergeCell ref="B56:C56"/>
    <mergeCell ref="F58:G58"/>
    <mergeCell ref="B54:G54"/>
    <mergeCell ref="F56:G56"/>
    <mergeCell ref="F55:G55"/>
    <mergeCell ref="B60:C60"/>
    <mergeCell ref="F57:G57"/>
  </mergeCells>
  <phoneticPr fontId="2" type="noConversion"/>
  <dataValidations count="3">
    <dataValidation type="list" allowBlank="1" showInputMessage="1" showErrorMessage="1" sqref="D88 F88 D99 F99 D106 F106 D113 F113 D120 F120 D127 F127 D134 F134 D141 F141 D148 F148 D162 F162 D155 F155 D169 F169 D176 F176 D183 F183 D190 F190" xr:uid="{00000000-0002-0000-0300-000000000000}">
      <formula1>$J$86:$J$87</formula1>
    </dataValidation>
    <dataValidation type="decimal" allowBlank="1" showInputMessage="1" showErrorMessage="1" error="El porcentaje debe estar entre 0 y 100%" sqref="G35:G52 E56:E77" xr:uid="{00000000-0002-0000-0300-000001000000}">
      <formula1>0</formula1>
      <formula2>1</formula2>
    </dataValidation>
    <dataValidation type="custom" allowBlank="1" showInputMessage="1" showErrorMessage="1" error="La suma de los porcentajes de participación debe ser 100%" sqref="G9:G29" xr:uid="{00000000-0002-0000-0300-000002000000}">
      <formula1>#REF!&gt;=0</formula1>
    </dataValidation>
  </dataValidations>
  <hyperlinks>
    <hyperlink ref="E5" r:id="rId1" xr:uid="{00000000-0004-0000-0300-000000000000}"/>
    <hyperlink ref="G5" r:id="rId2" xr:uid="{00000000-0004-0000-0300-000001000000}"/>
  </hyperlinks>
  <pageMargins left="0.75" right="0.75" top="1" bottom="1" header="0" footer="0"/>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T40"/>
  <sheetViews>
    <sheetView showGridLines="0" topLeftCell="A19" zoomScaleNormal="100" workbookViewId="0">
      <selection activeCell="B24" sqref="B24:J32"/>
    </sheetView>
  </sheetViews>
  <sheetFormatPr baseColWidth="10" defaultColWidth="0" defaultRowHeight="12.75" zeroHeight="1" x14ac:dyDescent="0.2"/>
  <cols>
    <col min="1" max="1" width="1.7109375" customWidth="1"/>
    <col min="2" max="2" width="15.28515625" customWidth="1"/>
    <col min="3" max="5" width="14.7109375" customWidth="1"/>
    <col min="6" max="7" width="7.7109375" customWidth="1"/>
    <col min="8" max="8" width="14.7109375" customWidth="1"/>
    <col min="9" max="9" width="3.5703125" customWidth="1"/>
    <col min="10" max="10" width="7.85546875" customWidth="1"/>
    <col min="11" max="12" width="1.7109375" customWidth="1"/>
    <col min="13" max="13" width="0" style="124" hidden="1" customWidth="1"/>
    <col min="14" max="14" width="14.140625" style="124" hidden="1" customWidth="1"/>
    <col min="15" max="15" width="35.85546875" style="124" hidden="1" customWidth="1"/>
    <col min="16" max="20" width="0" style="124" hidden="1" customWidth="1"/>
  </cols>
  <sheetData>
    <row r="1" spans="1:15" ht="13.5" thickBot="1" x14ac:dyDescent="0.25">
      <c r="A1" s="10"/>
      <c r="B1" s="10"/>
      <c r="C1" s="10"/>
      <c r="D1" s="10"/>
      <c r="E1" s="10"/>
      <c r="F1" s="10"/>
      <c r="G1" s="10"/>
      <c r="H1" s="10"/>
      <c r="I1" s="10"/>
      <c r="J1" s="10"/>
      <c r="K1" s="1"/>
    </row>
    <row r="2" spans="1:15" ht="18.75" customHeight="1" thickTop="1" thickBot="1" x14ac:dyDescent="0.25">
      <c r="A2" s="1184" t="s">
        <v>6</v>
      </c>
      <c r="B2" s="1185"/>
      <c r="C2" s="1185"/>
      <c r="D2" s="1185"/>
      <c r="E2" s="1185"/>
      <c r="F2" s="1185"/>
      <c r="G2" s="1185"/>
      <c r="H2" s="1185"/>
      <c r="I2" s="1185"/>
      <c r="J2" s="1185"/>
      <c r="K2" s="1186"/>
    </row>
    <row r="3" spans="1:15" ht="12.75" customHeight="1" thickBot="1" x14ac:dyDescent="0.25">
      <c r="A3" s="185"/>
      <c r="B3" s="14"/>
      <c r="C3" s="14"/>
      <c r="D3" s="14"/>
      <c r="E3" s="14"/>
      <c r="F3" s="14"/>
      <c r="G3" s="14"/>
      <c r="H3" s="14"/>
      <c r="I3" s="186"/>
      <c r="J3" s="14"/>
      <c r="K3" s="2"/>
    </row>
    <row r="4" spans="1:15" ht="18.75" customHeight="1" thickBot="1" x14ac:dyDescent="0.25">
      <c r="A4" s="185"/>
      <c r="B4" s="1166" t="s">
        <v>8</v>
      </c>
      <c r="C4" s="1167"/>
      <c r="D4" s="1167"/>
      <c r="E4" s="1167"/>
      <c r="F4" s="1167"/>
      <c r="G4" s="1167"/>
      <c r="H4" s="1167"/>
      <c r="I4" s="1167"/>
      <c r="J4" s="1168"/>
      <c r="K4" s="3"/>
    </row>
    <row r="5" spans="1:15" x14ac:dyDescent="0.2">
      <c r="A5" s="185"/>
      <c r="B5" s="1195"/>
      <c r="C5" s="1196"/>
      <c r="D5" s="1196"/>
      <c r="E5" s="1196"/>
      <c r="F5" s="1196"/>
      <c r="G5" s="1196"/>
      <c r="H5" s="1196"/>
      <c r="I5" s="1196"/>
      <c r="J5" s="1197"/>
      <c r="K5" s="3"/>
    </row>
    <row r="6" spans="1:15" x14ac:dyDescent="0.2">
      <c r="A6" s="185"/>
      <c r="B6" s="1198"/>
      <c r="C6" s="1199"/>
      <c r="D6" s="1199"/>
      <c r="E6" s="1199"/>
      <c r="F6" s="1199"/>
      <c r="G6" s="1199"/>
      <c r="H6" s="1199"/>
      <c r="I6" s="1199"/>
      <c r="J6" s="1200"/>
      <c r="K6" s="3"/>
    </row>
    <row r="7" spans="1:15" ht="31.5" customHeight="1" thickBot="1" x14ac:dyDescent="0.25">
      <c r="A7" s="185"/>
      <c r="B7" s="1201"/>
      <c r="C7" s="1202"/>
      <c r="D7" s="1202"/>
      <c r="E7" s="1202"/>
      <c r="F7" s="1202"/>
      <c r="G7" s="1202"/>
      <c r="H7" s="1202"/>
      <c r="I7" s="1202"/>
      <c r="J7" s="1203"/>
      <c r="K7" s="3"/>
    </row>
    <row r="8" spans="1:15" ht="13.5" thickBot="1" x14ac:dyDescent="0.25">
      <c r="A8" s="185"/>
      <c r="B8" s="4"/>
      <c r="C8" s="624"/>
      <c r="D8" s="4"/>
      <c r="E8" s="4"/>
      <c r="F8" s="4"/>
      <c r="G8" s="4"/>
      <c r="H8" s="4"/>
      <c r="I8" s="4"/>
      <c r="J8" s="4"/>
      <c r="K8" s="2"/>
    </row>
    <row r="9" spans="1:15" ht="18.75" customHeight="1" thickBot="1" x14ac:dyDescent="0.25">
      <c r="A9" s="185"/>
      <c r="B9" s="392" t="s">
        <v>17</v>
      </c>
      <c r="C9" s="382"/>
      <c r="D9" s="382"/>
      <c r="E9" s="391"/>
      <c r="F9" s="1224" t="s">
        <v>392</v>
      </c>
      <c r="G9" s="1225"/>
      <c r="H9" s="393">
        <v>44287</v>
      </c>
      <c r="I9" s="1222">
        <v>45016</v>
      </c>
      <c r="J9" s="1223"/>
      <c r="K9" s="2"/>
    </row>
    <row r="10" spans="1:15" ht="18.75" customHeight="1" x14ac:dyDescent="0.2">
      <c r="A10" s="185"/>
      <c r="B10" s="1210" t="s">
        <v>18</v>
      </c>
      <c r="C10" s="1211"/>
      <c r="D10" s="1210" t="s">
        <v>11</v>
      </c>
      <c r="E10" s="1211"/>
      <c r="F10" s="1210" t="s">
        <v>12</v>
      </c>
      <c r="G10" s="1212"/>
      <c r="H10" s="1213"/>
      <c r="I10" s="1214"/>
      <c r="J10" s="1215"/>
      <c r="K10" s="2"/>
      <c r="N10" s="332" t="s">
        <v>246</v>
      </c>
      <c r="O10" s="313"/>
    </row>
    <row r="11" spans="1:15" ht="18.75" customHeight="1" x14ac:dyDescent="0.2">
      <c r="A11" s="185"/>
      <c r="B11" s="187" t="s">
        <v>15</v>
      </c>
      <c r="C11" s="5"/>
      <c r="D11" s="187" t="s">
        <v>15</v>
      </c>
      <c r="E11" s="201" t="str">
        <f>IF(C11="","",IF(C11&gt;N11,"",C11))</f>
        <v/>
      </c>
      <c r="F11" s="1218" t="s">
        <v>15</v>
      </c>
      <c r="G11" s="1219"/>
      <c r="H11" s="6" t="str">
        <f>IF(C12&gt;N11,IF(C11&gt;N11+1,C11,N11+1),"")</f>
        <v/>
      </c>
      <c r="I11" s="1214"/>
      <c r="J11" s="1215"/>
      <c r="K11" s="2"/>
      <c r="N11" s="333">
        <v>44651</v>
      </c>
      <c r="O11" s="334" t="s">
        <v>245</v>
      </c>
    </row>
    <row r="12" spans="1:15" ht="18.75" customHeight="1" thickBot="1" x14ac:dyDescent="0.25">
      <c r="A12" s="185"/>
      <c r="B12" s="188" t="s">
        <v>16</v>
      </c>
      <c r="C12" s="7"/>
      <c r="D12" s="188" t="s">
        <v>16</v>
      </c>
      <c r="E12" s="202" t="str">
        <f>IF(OR(C12="",E11=""),"",IF(C12&gt;N11,N11,C12))</f>
        <v/>
      </c>
      <c r="F12" s="1220" t="s">
        <v>16</v>
      </c>
      <c r="G12" s="1221"/>
      <c r="H12" s="8" t="str">
        <f>IF(C12&gt;N11,C12,"")</f>
        <v/>
      </c>
      <c r="I12" s="1216"/>
      <c r="J12" s="1217"/>
      <c r="K12" s="2"/>
      <c r="N12" s="335"/>
    </row>
    <row r="13" spans="1:15" ht="12.75" customHeight="1" thickBot="1" x14ac:dyDescent="0.25">
      <c r="A13" s="185"/>
      <c r="B13" s="4"/>
      <c r="C13" s="4"/>
      <c r="D13" s="4"/>
      <c r="E13" s="4"/>
      <c r="F13" s="4"/>
      <c r="G13" s="4"/>
      <c r="H13" s="4"/>
      <c r="I13" s="4"/>
      <c r="J13" s="4"/>
      <c r="K13" s="2"/>
    </row>
    <row r="14" spans="1:15" ht="15.75" thickBot="1" x14ac:dyDescent="0.25">
      <c r="A14" s="185"/>
      <c r="B14" s="1204" t="s">
        <v>21</v>
      </c>
      <c r="C14" s="1205"/>
      <c r="D14" s="1205"/>
      <c r="E14" s="1205"/>
      <c r="F14" s="1205"/>
      <c r="G14" s="1205"/>
      <c r="H14" s="1205"/>
      <c r="I14" s="1205"/>
      <c r="J14" s="1206"/>
      <c r="K14" s="2"/>
      <c r="O14" s="336" t="s">
        <v>272</v>
      </c>
    </row>
    <row r="15" spans="1:15" ht="24.75" customHeight="1" thickBot="1" x14ac:dyDescent="0.25">
      <c r="A15" s="185"/>
      <c r="B15" s="1207" t="s">
        <v>275</v>
      </c>
      <c r="C15" s="1208"/>
      <c r="D15" s="1208"/>
      <c r="E15" s="1208"/>
      <c r="F15" s="1208"/>
      <c r="G15" s="1208"/>
      <c r="H15" s="1208"/>
      <c r="I15" s="1208"/>
      <c r="J15" s="1209"/>
      <c r="K15" s="2"/>
      <c r="O15" s="334" t="s">
        <v>273</v>
      </c>
    </row>
    <row r="16" spans="1:15" ht="24.75" customHeight="1" x14ac:dyDescent="0.2">
      <c r="A16" s="185"/>
      <c r="B16" s="1187" t="s">
        <v>19</v>
      </c>
      <c r="C16" s="1188"/>
      <c r="D16" s="1181" t="s">
        <v>85</v>
      </c>
      <c r="E16" s="1191" t="s">
        <v>9</v>
      </c>
      <c r="F16" s="1188"/>
      <c r="G16" s="1193" t="s">
        <v>76</v>
      </c>
      <c r="H16" s="1140" t="s">
        <v>20</v>
      </c>
      <c r="I16" s="1140"/>
      <c r="J16" s="1141"/>
      <c r="K16" s="2"/>
      <c r="O16" s="334" t="s">
        <v>274</v>
      </c>
    </row>
    <row r="17" spans="1:15" ht="24.75" customHeight="1" x14ac:dyDescent="0.2">
      <c r="A17" s="185"/>
      <c r="B17" s="1187"/>
      <c r="C17" s="1188"/>
      <c r="D17" s="1182"/>
      <c r="E17" s="1191"/>
      <c r="F17" s="1188"/>
      <c r="G17" s="1193"/>
      <c r="H17" s="1142"/>
      <c r="I17" s="1143"/>
      <c r="J17" s="1144"/>
      <c r="K17" s="2"/>
      <c r="O17" s="334" t="s">
        <v>275</v>
      </c>
    </row>
    <row r="18" spans="1:15" ht="24.75" customHeight="1" thickBot="1" x14ac:dyDescent="0.25">
      <c r="A18" s="185"/>
      <c r="B18" s="1189"/>
      <c r="C18" s="1190"/>
      <c r="D18" s="1183"/>
      <c r="E18" s="1192"/>
      <c r="F18" s="1190"/>
      <c r="G18" s="1194"/>
      <c r="H18" s="1145"/>
      <c r="I18" s="1146"/>
      <c r="J18" s="1147"/>
      <c r="K18" s="2"/>
    </row>
    <row r="19" spans="1:15" ht="12.75" customHeight="1" thickBot="1" x14ac:dyDescent="0.25">
      <c r="A19" s="185"/>
      <c r="B19" s="9"/>
      <c r="C19" s="10"/>
      <c r="D19" s="4"/>
      <c r="E19" s="4"/>
      <c r="F19" s="4"/>
      <c r="G19" s="4"/>
      <c r="H19" s="4"/>
      <c r="I19" s="4"/>
      <c r="J19" s="4"/>
      <c r="K19" s="2"/>
      <c r="N19" s="336" t="s">
        <v>247</v>
      </c>
    </row>
    <row r="20" spans="1:15" ht="18.75" customHeight="1" x14ac:dyDescent="0.2">
      <c r="A20" s="185"/>
      <c r="B20" s="1156" t="s">
        <v>13</v>
      </c>
      <c r="C20" s="1157"/>
      <c r="D20" s="1157"/>
      <c r="E20" s="1157"/>
      <c r="F20" s="1157"/>
      <c r="G20" s="1157"/>
      <c r="H20" s="1157"/>
      <c r="I20" s="1157"/>
      <c r="J20" s="1158"/>
      <c r="K20" s="2"/>
      <c r="N20" s="334" t="s">
        <v>85</v>
      </c>
    </row>
    <row r="21" spans="1:15" ht="34.5" customHeight="1" thickBot="1" x14ac:dyDescent="0.25">
      <c r="A21" s="185"/>
      <c r="B21" s="1153"/>
      <c r="C21" s="1154"/>
      <c r="D21" s="1154"/>
      <c r="E21" s="1154"/>
      <c r="F21" s="1154"/>
      <c r="G21" s="1154"/>
      <c r="H21" s="1154"/>
      <c r="I21" s="1154"/>
      <c r="J21" s="1155"/>
      <c r="K21" s="2"/>
      <c r="N21" s="334" t="s">
        <v>76</v>
      </c>
    </row>
    <row r="22" spans="1:15" ht="12.75" customHeight="1" thickBot="1" x14ac:dyDescent="0.25">
      <c r="A22" s="185"/>
      <c r="B22" s="11"/>
      <c r="C22" s="11"/>
      <c r="D22" s="12"/>
      <c r="E22" s="12"/>
      <c r="F22" s="12"/>
      <c r="G22" s="12"/>
      <c r="H22" s="12"/>
      <c r="I22" s="13"/>
      <c r="J22" s="14"/>
      <c r="K22" s="2"/>
    </row>
    <row r="23" spans="1:15" ht="18.75" customHeight="1" thickBot="1" x14ac:dyDescent="0.25">
      <c r="A23" s="185"/>
      <c r="B23" s="1162" t="s">
        <v>14</v>
      </c>
      <c r="C23" s="1163"/>
      <c r="D23" s="1163"/>
      <c r="E23" s="1164" t="s">
        <v>7</v>
      </c>
      <c r="F23" s="1164"/>
      <c r="G23" s="1164"/>
      <c r="H23" s="1164"/>
      <c r="I23" s="1164"/>
      <c r="J23" s="1165"/>
      <c r="K23" s="3"/>
    </row>
    <row r="24" spans="1:15" ht="18" customHeight="1" x14ac:dyDescent="0.2">
      <c r="A24" s="185"/>
      <c r="B24" s="1172"/>
      <c r="C24" s="1173"/>
      <c r="D24" s="1173"/>
      <c r="E24" s="1173"/>
      <c r="F24" s="1173"/>
      <c r="G24" s="1173"/>
      <c r="H24" s="1173"/>
      <c r="I24" s="1173"/>
      <c r="J24" s="1174"/>
      <c r="K24" s="3"/>
    </row>
    <row r="25" spans="1:15" ht="18" customHeight="1" x14ac:dyDescent="0.2">
      <c r="A25" s="185"/>
      <c r="B25" s="1175"/>
      <c r="C25" s="1176"/>
      <c r="D25" s="1176"/>
      <c r="E25" s="1176"/>
      <c r="F25" s="1176"/>
      <c r="G25" s="1176"/>
      <c r="H25" s="1176"/>
      <c r="I25" s="1176"/>
      <c r="J25" s="1177"/>
      <c r="K25" s="3"/>
    </row>
    <row r="26" spans="1:15" ht="18" customHeight="1" x14ac:dyDescent="0.2">
      <c r="A26" s="185"/>
      <c r="B26" s="1175"/>
      <c r="C26" s="1176"/>
      <c r="D26" s="1176"/>
      <c r="E26" s="1176"/>
      <c r="F26" s="1176"/>
      <c r="G26" s="1176"/>
      <c r="H26" s="1176"/>
      <c r="I26" s="1176"/>
      <c r="J26" s="1177"/>
      <c r="K26" s="3"/>
    </row>
    <row r="27" spans="1:15" ht="18" customHeight="1" x14ac:dyDescent="0.2">
      <c r="A27" s="189"/>
      <c r="B27" s="1175"/>
      <c r="C27" s="1176"/>
      <c r="D27" s="1176"/>
      <c r="E27" s="1176"/>
      <c r="F27" s="1176"/>
      <c r="G27" s="1176"/>
      <c r="H27" s="1176"/>
      <c r="I27" s="1176"/>
      <c r="J27" s="1177"/>
      <c r="K27" s="15"/>
    </row>
    <row r="28" spans="1:15" ht="18" customHeight="1" x14ac:dyDescent="0.2">
      <c r="A28" s="185"/>
      <c r="B28" s="1175"/>
      <c r="C28" s="1176"/>
      <c r="D28" s="1176"/>
      <c r="E28" s="1176"/>
      <c r="F28" s="1176"/>
      <c r="G28" s="1176"/>
      <c r="H28" s="1176"/>
      <c r="I28" s="1176"/>
      <c r="J28" s="1177"/>
      <c r="K28" s="3"/>
    </row>
    <row r="29" spans="1:15" ht="18" customHeight="1" x14ac:dyDescent="0.2">
      <c r="A29" s="185"/>
      <c r="B29" s="1175"/>
      <c r="C29" s="1176"/>
      <c r="D29" s="1176"/>
      <c r="E29" s="1176"/>
      <c r="F29" s="1176"/>
      <c r="G29" s="1176"/>
      <c r="H29" s="1176"/>
      <c r="I29" s="1176"/>
      <c r="J29" s="1177"/>
      <c r="K29" s="3"/>
    </row>
    <row r="30" spans="1:15" ht="18" customHeight="1" x14ac:dyDescent="0.2">
      <c r="A30" s="185"/>
      <c r="B30" s="1175"/>
      <c r="C30" s="1176"/>
      <c r="D30" s="1176"/>
      <c r="E30" s="1176"/>
      <c r="F30" s="1176"/>
      <c r="G30" s="1176"/>
      <c r="H30" s="1176"/>
      <c r="I30" s="1176"/>
      <c r="J30" s="1177"/>
      <c r="K30" s="3"/>
    </row>
    <row r="31" spans="1:15" ht="18" customHeight="1" x14ac:dyDescent="0.2">
      <c r="A31" s="185"/>
      <c r="B31" s="1175"/>
      <c r="C31" s="1176"/>
      <c r="D31" s="1176"/>
      <c r="E31" s="1176"/>
      <c r="F31" s="1176"/>
      <c r="G31" s="1176"/>
      <c r="H31" s="1176"/>
      <c r="I31" s="1176"/>
      <c r="J31" s="1177"/>
      <c r="K31" s="3"/>
    </row>
    <row r="32" spans="1:15" ht="18" customHeight="1" thickBot="1" x14ac:dyDescent="0.25">
      <c r="A32" s="185"/>
      <c r="B32" s="1178"/>
      <c r="C32" s="1179"/>
      <c r="D32" s="1179"/>
      <c r="E32" s="1179"/>
      <c r="F32" s="1179"/>
      <c r="G32" s="1179"/>
      <c r="H32" s="1179"/>
      <c r="I32" s="1179"/>
      <c r="J32" s="1180"/>
      <c r="K32" s="3"/>
    </row>
    <row r="33" spans="1:11" ht="13.5" thickBot="1" x14ac:dyDescent="0.25">
      <c r="A33" s="185"/>
      <c r="B33" s="190"/>
      <c r="C33" s="190"/>
      <c r="D33" s="190"/>
      <c r="E33" s="190"/>
      <c r="F33" s="190"/>
      <c r="G33" s="190"/>
      <c r="H33" s="190"/>
      <c r="I33" s="13"/>
      <c r="J33" s="191"/>
      <c r="K33" s="2"/>
    </row>
    <row r="34" spans="1:11" ht="18.75" customHeight="1" thickBot="1" x14ac:dyDescent="0.25">
      <c r="A34" s="185"/>
      <c r="B34" s="1166" t="s">
        <v>10</v>
      </c>
      <c r="C34" s="1167"/>
      <c r="D34" s="1167"/>
      <c r="E34" s="1167"/>
      <c r="F34" s="1167"/>
      <c r="G34" s="1167"/>
      <c r="H34" s="1167"/>
      <c r="I34" s="1167"/>
      <c r="J34" s="1168"/>
      <c r="K34" s="3"/>
    </row>
    <row r="35" spans="1:11" ht="18.75" customHeight="1" x14ac:dyDescent="0.2">
      <c r="A35" s="185"/>
      <c r="B35" s="192" t="s">
        <v>0</v>
      </c>
      <c r="C35" s="1150"/>
      <c r="D35" s="1151"/>
      <c r="E35" s="1152"/>
      <c r="F35" s="1169" t="s">
        <v>1</v>
      </c>
      <c r="G35" s="1169"/>
      <c r="H35" s="1150"/>
      <c r="I35" s="1151"/>
      <c r="J35" s="1170"/>
      <c r="K35" s="3"/>
    </row>
    <row r="36" spans="1:11" ht="18.75" customHeight="1" x14ac:dyDescent="0.2">
      <c r="A36" s="185"/>
      <c r="B36" s="193" t="s">
        <v>2</v>
      </c>
      <c r="C36" s="1159"/>
      <c r="D36" s="1160"/>
      <c r="E36" s="1171"/>
      <c r="F36" s="194" t="s">
        <v>5</v>
      </c>
      <c r="G36" s="1159"/>
      <c r="H36" s="1160"/>
      <c r="I36" s="1160"/>
      <c r="J36" s="1161"/>
      <c r="K36" s="3"/>
    </row>
    <row r="37" spans="1:11" ht="18.75" customHeight="1" thickBot="1" x14ac:dyDescent="0.25">
      <c r="A37" s="185"/>
      <c r="B37" s="195" t="s">
        <v>3</v>
      </c>
      <c r="C37" s="1137"/>
      <c r="D37" s="1138"/>
      <c r="E37" s="1139"/>
      <c r="F37" s="196" t="s">
        <v>393</v>
      </c>
      <c r="G37" s="1148"/>
      <c r="H37" s="1148"/>
      <c r="I37" s="1148"/>
      <c r="J37" s="1149"/>
      <c r="K37" s="3"/>
    </row>
    <row r="38" spans="1:11" x14ac:dyDescent="0.2">
      <c r="A38" s="185"/>
      <c r="B38" s="197"/>
      <c r="C38" s="197"/>
      <c r="D38" s="197"/>
      <c r="E38" s="197"/>
      <c r="F38" s="197"/>
      <c r="G38" s="197"/>
      <c r="H38" s="197"/>
      <c r="I38" s="13"/>
      <c r="J38" s="197"/>
      <c r="K38" s="2"/>
    </row>
    <row r="39" spans="1:11" ht="13.5" thickBot="1" x14ac:dyDescent="0.25">
      <c r="A39" s="198"/>
      <c r="B39" s="199"/>
      <c r="C39" s="199"/>
      <c r="D39" s="199"/>
      <c r="E39" s="199"/>
      <c r="F39" s="199"/>
      <c r="G39" s="199"/>
      <c r="H39" s="199"/>
      <c r="I39" s="200"/>
      <c r="J39" s="199"/>
      <c r="K39" s="16"/>
    </row>
    <row r="40" spans="1:11" ht="13.5" thickTop="1" x14ac:dyDescent="0.2"/>
  </sheetData>
  <sheetProtection password="DD66" sheet="1" selectLockedCells="1"/>
  <mergeCells count="32">
    <mergeCell ref="A2:K2"/>
    <mergeCell ref="B4:J4"/>
    <mergeCell ref="B16:C18"/>
    <mergeCell ref="E16:F18"/>
    <mergeCell ref="G16:G18"/>
    <mergeCell ref="B5:J7"/>
    <mergeCell ref="B14:J14"/>
    <mergeCell ref="B15:J15"/>
    <mergeCell ref="B10:C10"/>
    <mergeCell ref="D10:E10"/>
    <mergeCell ref="F10:H10"/>
    <mergeCell ref="I10:J12"/>
    <mergeCell ref="F11:G11"/>
    <mergeCell ref="F12:G12"/>
    <mergeCell ref="I9:J9"/>
    <mergeCell ref="F9:G9"/>
    <mergeCell ref="C37:E37"/>
    <mergeCell ref="H16:J16"/>
    <mergeCell ref="H17:J18"/>
    <mergeCell ref="G37:J37"/>
    <mergeCell ref="C35:E35"/>
    <mergeCell ref="B21:J21"/>
    <mergeCell ref="B20:J20"/>
    <mergeCell ref="G36:J36"/>
    <mergeCell ref="B23:D23"/>
    <mergeCell ref="E23:J23"/>
    <mergeCell ref="B34:J34"/>
    <mergeCell ref="F35:G35"/>
    <mergeCell ref="H35:J35"/>
    <mergeCell ref="C36:E36"/>
    <mergeCell ref="B24:J32"/>
    <mergeCell ref="D16:D18"/>
  </mergeCells>
  <phoneticPr fontId="2" type="noConversion"/>
  <dataValidations count="4">
    <dataValidation type="date" allowBlank="1" showInputMessage="1" showErrorMessage="1" errorTitle="Fecha de inicio del proyecto:" error="Las fechas de inicio y fin de proyecto deben estar comprendidas entre las referidas arriba" promptTitle="Fecha de inicio del proyecto:" prompt="Las fechas de inicio y fin de proyecto deben estar comprendidas entre las referidas arriba" sqref="C11" xr:uid="{00000000-0002-0000-0400-000000000000}">
      <formula1>$H$9</formula1>
      <formula2>$I$9</formula2>
    </dataValidation>
    <dataValidation type="date" allowBlank="1" showInputMessage="1" showErrorMessage="1" errorTitle="Fecha finalización del proyecto:" error="Las fechas de inicio y fin de proyecto deben estar comprendidas entre las referidas arriba" promptTitle="Fecha finalización del proyecto:" prompt="Las fechas de inicio y fin de proyecto deben estar comprendidas entre las referidas arriba" sqref="C12" xr:uid="{00000000-0002-0000-0400-000001000000}">
      <formula1>$H$9</formula1>
      <formula2>$I$9</formula2>
    </dataValidation>
    <dataValidation type="list" allowBlank="1" showInputMessage="1" showErrorMessage="1" sqref="B15" xr:uid="{00000000-0002-0000-0400-000002000000}">
      <formula1>$O$15:$O$17</formula1>
    </dataValidation>
    <dataValidation type="list" allowBlank="1" showInputMessage="1" showErrorMessage="1" sqref="D16:D18 G16:G18" xr:uid="{00000000-0002-0000-0400-000003000000}">
      <formula1>$N$20:$N$21</formula1>
    </dataValidation>
  </dataValidations>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J57"/>
  <sheetViews>
    <sheetView showGridLines="0" zoomScaleNormal="100" workbookViewId="0">
      <selection activeCell="C16" sqref="C16"/>
    </sheetView>
  </sheetViews>
  <sheetFormatPr baseColWidth="10" defaultColWidth="0" defaultRowHeight="12.75" zeroHeight="1" x14ac:dyDescent="0.2"/>
  <cols>
    <col min="1" max="1" width="28.7109375" customWidth="1"/>
    <col min="2" max="4" width="14.7109375" customWidth="1"/>
    <col min="5" max="6" width="9" customWidth="1"/>
    <col min="7" max="7" width="14.7109375" customWidth="1"/>
    <col min="8" max="9" width="9" customWidth="1"/>
    <col min="10" max="10" width="14.7109375" customWidth="1"/>
    <col min="11" max="11" width="1.7109375" customWidth="1"/>
  </cols>
  <sheetData>
    <row r="1" spans="1:10" ht="13.5" thickBot="1" x14ac:dyDescent="0.25"/>
    <row r="2" spans="1:10" x14ac:dyDescent="0.2">
      <c r="A2" s="1227" t="s">
        <v>135</v>
      </c>
      <c r="B2" s="1228"/>
      <c r="C2" s="1228"/>
      <c r="D2" s="1228"/>
      <c r="E2" s="1228"/>
      <c r="F2" s="1228"/>
      <c r="G2" s="1228"/>
      <c r="H2" s="1228"/>
      <c r="I2" s="1228"/>
      <c r="J2" s="1229"/>
    </row>
    <row r="3" spans="1:10" ht="13.5" thickBot="1" x14ac:dyDescent="0.25">
      <c r="A3" s="1230"/>
      <c r="B3" s="1231"/>
      <c r="C3" s="1231"/>
      <c r="D3" s="1231"/>
      <c r="E3" s="1231"/>
      <c r="F3" s="1231"/>
      <c r="G3" s="1231"/>
      <c r="H3" s="1231"/>
      <c r="I3" s="1231"/>
      <c r="J3" s="1232"/>
    </row>
    <row r="4" spans="1:10" ht="22.5" customHeight="1" thickBot="1" x14ac:dyDescent="0.25">
      <c r="A4" s="1233" t="s">
        <v>141</v>
      </c>
      <c r="B4" s="1234"/>
      <c r="C4" s="1234"/>
      <c r="D4" s="1234"/>
      <c r="E4" s="1234"/>
      <c r="F4" s="1234"/>
      <c r="G4" s="1234"/>
      <c r="H4" s="1234"/>
      <c r="I4" s="1234"/>
      <c r="J4" s="1235"/>
    </row>
    <row r="5" spans="1:10" ht="16.5" customHeight="1" x14ac:dyDescent="0.2"/>
    <row r="6" spans="1:10" ht="16.5" customHeight="1" x14ac:dyDescent="0.2">
      <c r="A6" s="1226" t="s">
        <v>248</v>
      </c>
      <c r="B6" s="1226"/>
      <c r="C6" s="1226"/>
      <c r="D6" s="1226"/>
      <c r="E6" s="1226"/>
      <c r="F6" s="1226"/>
      <c r="G6" s="1226"/>
      <c r="H6" s="1226"/>
      <c r="I6" s="1226"/>
      <c r="J6" s="1226"/>
    </row>
    <row r="7" spans="1:10" ht="16.5" customHeight="1" x14ac:dyDescent="0.2">
      <c r="A7" s="1226"/>
      <c r="B7" s="1226"/>
      <c r="C7" s="1226"/>
      <c r="D7" s="1226"/>
      <c r="E7" s="1226"/>
      <c r="F7" s="1226"/>
      <c r="G7" s="1226"/>
      <c r="H7" s="1226"/>
      <c r="I7" s="1226"/>
      <c r="J7" s="1226"/>
    </row>
    <row r="8" spans="1:10" ht="32.25" customHeight="1" thickBot="1" x14ac:dyDescent="0.25">
      <c r="A8" s="1226"/>
      <c r="B8" s="1226"/>
      <c r="C8" s="1226"/>
      <c r="D8" s="1226"/>
      <c r="E8" s="1226"/>
      <c r="F8" s="1226"/>
      <c r="G8" s="1226"/>
      <c r="H8" s="1226"/>
      <c r="I8" s="1226"/>
      <c r="J8" s="1226"/>
    </row>
    <row r="9" spans="1:10" x14ac:dyDescent="0.2">
      <c r="A9" s="1250" t="s">
        <v>98</v>
      </c>
      <c r="B9" s="996" t="s">
        <v>77</v>
      </c>
      <c r="C9" s="934" t="s">
        <v>102</v>
      </c>
      <c r="D9" s="1239" t="s">
        <v>103</v>
      </c>
      <c r="E9" s="1242" t="s">
        <v>11</v>
      </c>
      <c r="F9" s="1243"/>
      <c r="G9" s="980"/>
      <c r="H9" s="1242" t="s">
        <v>12</v>
      </c>
      <c r="I9" s="1243"/>
      <c r="J9" s="980"/>
    </row>
    <row r="10" spans="1:10" x14ac:dyDescent="0.2">
      <c r="A10" s="1251"/>
      <c r="B10" s="1253"/>
      <c r="C10" s="1255"/>
      <c r="D10" s="1240"/>
      <c r="E10" s="1244"/>
      <c r="F10" s="1245"/>
      <c r="G10" s="1246"/>
      <c r="H10" s="1244"/>
      <c r="I10" s="1245"/>
      <c r="J10" s="1246"/>
    </row>
    <row r="11" spans="1:10" x14ac:dyDescent="0.2">
      <c r="A11" s="1251"/>
      <c r="B11" s="1253"/>
      <c r="C11" s="1255"/>
      <c r="D11" s="1240"/>
      <c r="E11" s="1247"/>
      <c r="F11" s="1248"/>
      <c r="G11" s="1249"/>
      <c r="H11" s="1247"/>
      <c r="I11" s="1248"/>
      <c r="J11" s="1249"/>
    </row>
    <row r="12" spans="1:10" ht="34.5" thickBot="1" x14ac:dyDescent="0.25">
      <c r="A12" s="1252"/>
      <c r="B12" s="1254"/>
      <c r="C12" s="1256"/>
      <c r="D12" s="1241"/>
      <c r="E12" s="48" t="s">
        <v>104</v>
      </c>
      <c r="F12" s="49" t="s">
        <v>105</v>
      </c>
      <c r="G12" s="50" t="s">
        <v>106</v>
      </c>
      <c r="H12" s="48" t="s">
        <v>104</v>
      </c>
      <c r="I12" s="49" t="s">
        <v>105</v>
      </c>
      <c r="J12" s="50" t="s">
        <v>106</v>
      </c>
    </row>
    <row r="13" spans="1:10" x14ac:dyDescent="0.2">
      <c r="A13" s="429"/>
      <c r="B13" s="52"/>
      <c r="C13" s="207"/>
      <c r="D13" s="53"/>
      <c r="E13" s="209"/>
      <c r="F13" s="210"/>
      <c r="G13" s="54">
        <f>D13*E13*F13/12</f>
        <v>0</v>
      </c>
      <c r="H13" s="209"/>
      <c r="I13" s="210"/>
      <c r="J13" s="54">
        <f>D13*H13*I13/12</f>
        <v>0</v>
      </c>
    </row>
    <row r="14" spans="1:10" x14ac:dyDescent="0.2">
      <c r="A14" s="51"/>
      <c r="B14" s="52"/>
      <c r="C14" s="207"/>
      <c r="D14" s="55"/>
      <c r="E14" s="209"/>
      <c r="F14" s="210"/>
      <c r="G14" s="56">
        <f t="shared" ref="G14:G37" si="0">D14*E14*F14/12</f>
        <v>0</v>
      </c>
      <c r="H14" s="209"/>
      <c r="I14" s="210"/>
      <c r="J14" s="56">
        <f t="shared" ref="J14:J37" si="1">D14*H14*I14/12</f>
        <v>0</v>
      </c>
    </row>
    <row r="15" spans="1:10" x14ac:dyDescent="0.2">
      <c r="A15" s="51"/>
      <c r="B15" s="52"/>
      <c r="C15" s="207"/>
      <c r="D15" s="55"/>
      <c r="E15" s="209"/>
      <c r="F15" s="210"/>
      <c r="G15" s="56">
        <f t="shared" si="0"/>
        <v>0</v>
      </c>
      <c r="H15" s="209"/>
      <c r="I15" s="210"/>
      <c r="J15" s="56">
        <f t="shared" si="1"/>
        <v>0</v>
      </c>
    </row>
    <row r="16" spans="1:10" x14ac:dyDescent="0.2">
      <c r="A16" s="51"/>
      <c r="B16" s="52"/>
      <c r="C16" s="207"/>
      <c r="D16" s="55"/>
      <c r="E16" s="209"/>
      <c r="F16" s="210"/>
      <c r="G16" s="56">
        <f t="shared" si="0"/>
        <v>0</v>
      </c>
      <c r="H16" s="209"/>
      <c r="I16" s="210"/>
      <c r="J16" s="56">
        <f t="shared" si="1"/>
        <v>0</v>
      </c>
    </row>
    <row r="17" spans="1:10" x14ac:dyDescent="0.2">
      <c r="A17" s="51"/>
      <c r="B17" s="52"/>
      <c r="C17" s="207"/>
      <c r="D17" s="55"/>
      <c r="E17" s="209"/>
      <c r="F17" s="210"/>
      <c r="G17" s="56">
        <f t="shared" si="0"/>
        <v>0</v>
      </c>
      <c r="H17" s="209"/>
      <c r="I17" s="210"/>
      <c r="J17" s="56">
        <f t="shared" si="1"/>
        <v>0</v>
      </c>
    </row>
    <row r="18" spans="1:10" x14ac:dyDescent="0.2">
      <c r="A18" s="51"/>
      <c r="B18" s="52"/>
      <c r="C18" s="207"/>
      <c r="D18" s="55"/>
      <c r="E18" s="209"/>
      <c r="F18" s="210"/>
      <c r="G18" s="56">
        <f t="shared" si="0"/>
        <v>0</v>
      </c>
      <c r="H18" s="209"/>
      <c r="I18" s="210"/>
      <c r="J18" s="56">
        <f t="shared" si="1"/>
        <v>0</v>
      </c>
    </row>
    <row r="19" spans="1:10" x14ac:dyDescent="0.2">
      <c r="A19" s="51"/>
      <c r="B19" s="52"/>
      <c r="C19" s="207"/>
      <c r="D19" s="55"/>
      <c r="E19" s="209"/>
      <c r="F19" s="210"/>
      <c r="G19" s="56">
        <f t="shared" si="0"/>
        <v>0</v>
      </c>
      <c r="H19" s="209"/>
      <c r="I19" s="210"/>
      <c r="J19" s="56">
        <f t="shared" si="1"/>
        <v>0</v>
      </c>
    </row>
    <row r="20" spans="1:10" x14ac:dyDescent="0.2">
      <c r="A20" s="51"/>
      <c r="B20" s="52"/>
      <c r="C20" s="207"/>
      <c r="D20" s="55"/>
      <c r="E20" s="209"/>
      <c r="F20" s="210"/>
      <c r="G20" s="56">
        <f t="shared" si="0"/>
        <v>0</v>
      </c>
      <c r="H20" s="209"/>
      <c r="I20" s="210"/>
      <c r="J20" s="56">
        <f t="shared" si="1"/>
        <v>0</v>
      </c>
    </row>
    <row r="21" spans="1:10" x14ac:dyDescent="0.2">
      <c r="A21" s="51"/>
      <c r="B21" s="52"/>
      <c r="C21" s="207"/>
      <c r="D21" s="55"/>
      <c r="E21" s="209"/>
      <c r="F21" s="210"/>
      <c r="G21" s="56">
        <f t="shared" si="0"/>
        <v>0</v>
      </c>
      <c r="H21" s="209"/>
      <c r="I21" s="210"/>
      <c r="J21" s="56">
        <f t="shared" si="1"/>
        <v>0</v>
      </c>
    </row>
    <row r="22" spans="1:10" x14ac:dyDescent="0.2">
      <c r="A22" s="51"/>
      <c r="B22" s="52"/>
      <c r="C22" s="207"/>
      <c r="D22" s="55"/>
      <c r="E22" s="209"/>
      <c r="F22" s="210"/>
      <c r="G22" s="56">
        <f t="shared" si="0"/>
        <v>0</v>
      </c>
      <c r="H22" s="209"/>
      <c r="I22" s="210"/>
      <c r="J22" s="56">
        <f t="shared" si="1"/>
        <v>0</v>
      </c>
    </row>
    <row r="23" spans="1:10" x14ac:dyDescent="0.2">
      <c r="A23" s="51"/>
      <c r="B23" s="52"/>
      <c r="C23" s="207"/>
      <c r="D23" s="55"/>
      <c r="E23" s="209"/>
      <c r="F23" s="210"/>
      <c r="G23" s="56">
        <f t="shared" si="0"/>
        <v>0</v>
      </c>
      <c r="H23" s="209"/>
      <c r="I23" s="210"/>
      <c r="J23" s="56">
        <f t="shared" si="1"/>
        <v>0</v>
      </c>
    </row>
    <row r="24" spans="1:10" x14ac:dyDescent="0.2">
      <c r="A24" s="51"/>
      <c r="B24" s="52"/>
      <c r="C24" s="207"/>
      <c r="D24" s="55"/>
      <c r="E24" s="209"/>
      <c r="F24" s="210"/>
      <c r="G24" s="56">
        <f t="shared" si="0"/>
        <v>0</v>
      </c>
      <c r="H24" s="209"/>
      <c r="I24" s="210"/>
      <c r="J24" s="56">
        <f t="shared" si="1"/>
        <v>0</v>
      </c>
    </row>
    <row r="25" spans="1:10" x14ac:dyDescent="0.2">
      <c r="A25" s="51"/>
      <c r="B25" s="52"/>
      <c r="C25" s="207"/>
      <c r="D25" s="55"/>
      <c r="E25" s="209"/>
      <c r="F25" s="210"/>
      <c r="G25" s="56">
        <f t="shared" si="0"/>
        <v>0</v>
      </c>
      <c r="H25" s="209"/>
      <c r="I25" s="210"/>
      <c r="J25" s="56">
        <f t="shared" si="1"/>
        <v>0</v>
      </c>
    </row>
    <row r="26" spans="1:10" x14ac:dyDescent="0.2">
      <c r="A26" s="51"/>
      <c r="B26" s="52"/>
      <c r="C26" s="207"/>
      <c r="D26" s="55"/>
      <c r="E26" s="209"/>
      <c r="F26" s="210"/>
      <c r="G26" s="56">
        <f t="shared" si="0"/>
        <v>0</v>
      </c>
      <c r="H26" s="209"/>
      <c r="I26" s="210"/>
      <c r="J26" s="56">
        <f t="shared" si="1"/>
        <v>0</v>
      </c>
    </row>
    <row r="27" spans="1:10" x14ac:dyDescent="0.2">
      <c r="A27" s="51"/>
      <c r="B27" s="52"/>
      <c r="C27" s="207"/>
      <c r="D27" s="55"/>
      <c r="E27" s="209"/>
      <c r="F27" s="210"/>
      <c r="G27" s="57">
        <f t="shared" si="0"/>
        <v>0</v>
      </c>
      <c r="H27" s="209"/>
      <c r="I27" s="210"/>
      <c r="J27" s="57">
        <f t="shared" si="1"/>
        <v>0</v>
      </c>
    </row>
    <row r="28" spans="1:10" x14ac:dyDescent="0.2">
      <c r="A28" s="51"/>
      <c r="B28" s="52"/>
      <c r="C28" s="207"/>
      <c r="D28" s="55"/>
      <c r="E28" s="209"/>
      <c r="F28" s="210"/>
      <c r="G28" s="57">
        <f t="shared" si="0"/>
        <v>0</v>
      </c>
      <c r="H28" s="209"/>
      <c r="I28" s="210"/>
      <c r="J28" s="57">
        <f t="shared" si="1"/>
        <v>0</v>
      </c>
    </row>
    <row r="29" spans="1:10" x14ac:dyDescent="0.2">
      <c r="A29" s="51"/>
      <c r="B29" s="52"/>
      <c r="C29" s="207"/>
      <c r="D29" s="55"/>
      <c r="E29" s="209"/>
      <c r="F29" s="210"/>
      <c r="G29" s="57">
        <f t="shared" si="0"/>
        <v>0</v>
      </c>
      <c r="H29" s="209"/>
      <c r="I29" s="210"/>
      <c r="J29" s="57">
        <f t="shared" si="1"/>
        <v>0</v>
      </c>
    </row>
    <row r="30" spans="1:10" x14ac:dyDescent="0.2">
      <c r="A30" s="51"/>
      <c r="B30" s="52"/>
      <c r="C30" s="207"/>
      <c r="D30" s="55"/>
      <c r="E30" s="209"/>
      <c r="F30" s="210"/>
      <c r="G30" s="57">
        <f t="shared" si="0"/>
        <v>0</v>
      </c>
      <c r="H30" s="209"/>
      <c r="I30" s="210"/>
      <c r="J30" s="57">
        <f t="shared" si="1"/>
        <v>0</v>
      </c>
    </row>
    <row r="31" spans="1:10" x14ac:dyDescent="0.2">
      <c r="A31" s="51"/>
      <c r="B31" s="52"/>
      <c r="C31" s="207"/>
      <c r="D31" s="55"/>
      <c r="E31" s="209"/>
      <c r="F31" s="210"/>
      <c r="G31" s="57">
        <f t="shared" si="0"/>
        <v>0</v>
      </c>
      <c r="H31" s="209"/>
      <c r="I31" s="210"/>
      <c r="J31" s="57">
        <f t="shared" si="1"/>
        <v>0</v>
      </c>
    </row>
    <row r="32" spans="1:10" x14ac:dyDescent="0.2">
      <c r="A32" s="51"/>
      <c r="B32" s="52"/>
      <c r="C32" s="207"/>
      <c r="D32" s="55"/>
      <c r="E32" s="209"/>
      <c r="F32" s="210"/>
      <c r="G32" s="57">
        <f t="shared" si="0"/>
        <v>0</v>
      </c>
      <c r="H32" s="209"/>
      <c r="I32" s="210"/>
      <c r="J32" s="57">
        <f t="shared" si="1"/>
        <v>0</v>
      </c>
    </row>
    <row r="33" spans="1:10" x14ac:dyDescent="0.2">
      <c r="A33" s="51"/>
      <c r="B33" s="58"/>
      <c r="C33" s="350"/>
      <c r="D33" s="59"/>
      <c r="E33" s="211"/>
      <c r="F33" s="212"/>
      <c r="G33" s="57">
        <f t="shared" si="0"/>
        <v>0</v>
      </c>
      <c r="H33" s="211"/>
      <c r="I33" s="212"/>
      <c r="J33" s="57">
        <f t="shared" si="1"/>
        <v>0</v>
      </c>
    </row>
    <row r="34" spans="1:10" x14ac:dyDescent="0.2">
      <c r="A34" s="51"/>
      <c r="B34" s="60"/>
      <c r="C34" s="351"/>
      <c r="D34" s="61"/>
      <c r="E34" s="213"/>
      <c r="F34" s="214"/>
      <c r="G34" s="57">
        <f t="shared" si="0"/>
        <v>0</v>
      </c>
      <c r="H34" s="213"/>
      <c r="I34" s="214"/>
      <c r="J34" s="57">
        <f t="shared" si="1"/>
        <v>0</v>
      </c>
    </row>
    <row r="35" spans="1:10" x14ac:dyDescent="0.2">
      <c r="A35" s="51"/>
      <c r="B35" s="60"/>
      <c r="C35" s="351"/>
      <c r="D35" s="61"/>
      <c r="E35" s="213"/>
      <c r="F35" s="214"/>
      <c r="G35" s="57">
        <f t="shared" si="0"/>
        <v>0</v>
      </c>
      <c r="H35" s="213"/>
      <c r="I35" s="214"/>
      <c r="J35" s="57">
        <f t="shared" si="1"/>
        <v>0</v>
      </c>
    </row>
    <row r="36" spans="1:10" x14ac:dyDescent="0.2">
      <c r="A36" s="51"/>
      <c r="B36" s="60"/>
      <c r="C36" s="351"/>
      <c r="D36" s="61"/>
      <c r="E36" s="213"/>
      <c r="F36" s="214"/>
      <c r="G36" s="57">
        <f t="shared" si="0"/>
        <v>0</v>
      </c>
      <c r="H36" s="213"/>
      <c r="I36" s="214"/>
      <c r="J36" s="57">
        <f t="shared" si="1"/>
        <v>0</v>
      </c>
    </row>
    <row r="37" spans="1:10" ht="13.5" thickBot="1" x14ac:dyDescent="0.25">
      <c r="A37" s="62"/>
      <c r="B37" s="63"/>
      <c r="C37" s="208"/>
      <c r="D37" s="64"/>
      <c r="E37" s="215"/>
      <c r="F37" s="216"/>
      <c r="G37" s="65">
        <f t="shared" si="0"/>
        <v>0</v>
      </c>
      <c r="H37" s="215"/>
      <c r="I37" s="216"/>
      <c r="J37" s="65">
        <f t="shared" si="1"/>
        <v>0</v>
      </c>
    </row>
    <row r="38" spans="1:10" ht="17.25" thickBot="1" x14ac:dyDescent="0.25">
      <c r="A38" s="66" t="s">
        <v>75</v>
      </c>
      <c r="B38" s="67"/>
      <c r="C38" s="67"/>
      <c r="D38" s="67"/>
      <c r="E38" s="67"/>
      <c r="F38" s="67"/>
      <c r="G38" s="68">
        <f>SUM(G13:G37)</f>
        <v>0</v>
      </c>
      <c r="H38" s="69"/>
      <c r="I38" s="69"/>
      <c r="J38" s="68">
        <f>SUM(J13:J37)</f>
        <v>0</v>
      </c>
    </row>
    <row r="39" spans="1:10" ht="16.5" x14ac:dyDescent="0.2">
      <c r="A39" s="70"/>
      <c r="B39" s="70"/>
      <c r="C39" s="70"/>
      <c r="D39" s="70"/>
      <c r="E39" s="70"/>
      <c r="F39" s="70"/>
      <c r="G39" s="70"/>
      <c r="H39" s="71"/>
      <c r="I39" s="71"/>
      <c r="J39" s="71"/>
    </row>
    <row r="40" spans="1:10" ht="30" customHeight="1" x14ac:dyDescent="0.2">
      <c r="A40" s="1257" t="s">
        <v>140</v>
      </c>
      <c r="B40" s="1257"/>
      <c r="C40" s="1257"/>
      <c r="D40" s="1257"/>
      <c r="E40" s="1257"/>
      <c r="F40" s="1257"/>
      <c r="G40" s="1257"/>
      <c r="H40" s="1257"/>
      <c r="I40" s="1257"/>
      <c r="J40" s="1257"/>
    </row>
    <row r="41" spans="1:10" ht="17.25" customHeight="1" x14ac:dyDescent="0.2">
      <c r="A41" s="1236" t="s">
        <v>99</v>
      </c>
      <c r="B41" s="1236"/>
      <c r="C41" s="1236"/>
      <c r="D41" s="1236"/>
      <c r="E41" s="1236"/>
      <c r="F41" s="1236"/>
      <c r="G41" s="1236"/>
      <c r="H41" s="1236"/>
      <c r="I41" s="1236"/>
      <c r="J41" s="1236"/>
    </row>
    <row r="42" spans="1:10" ht="30" customHeight="1" x14ac:dyDescent="0.2">
      <c r="A42" s="1258" t="s">
        <v>394</v>
      </c>
      <c r="B42" s="1259"/>
      <c r="C42" s="1259"/>
      <c r="D42" s="1259"/>
      <c r="E42" s="1259"/>
      <c r="F42" s="1259"/>
      <c r="G42" s="1259"/>
      <c r="H42" s="1259"/>
      <c r="I42" s="1259"/>
      <c r="J42" s="1259"/>
    </row>
    <row r="43" spans="1:10" ht="30" customHeight="1" x14ac:dyDescent="0.2">
      <c r="A43" s="1237" t="s">
        <v>115</v>
      </c>
      <c r="B43" s="1238"/>
      <c r="C43" s="1238"/>
      <c r="D43" s="1238"/>
      <c r="E43" s="1238"/>
      <c r="F43" s="1238"/>
      <c r="G43" s="1238"/>
      <c r="H43" s="1238"/>
      <c r="I43" s="1238"/>
      <c r="J43" s="1238"/>
    </row>
    <row r="44" spans="1:10" ht="30" customHeight="1" x14ac:dyDescent="0.2">
      <c r="A44" s="1236" t="s">
        <v>100</v>
      </c>
      <c r="B44" s="1236"/>
      <c r="C44" s="1236"/>
      <c r="D44" s="1236"/>
      <c r="E44" s="1236"/>
      <c r="F44" s="1236"/>
      <c r="G44" s="1236"/>
      <c r="H44" s="1236"/>
      <c r="I44" s="1236"/>
      <c r="J44" s="1236"/>
    </row>
    <row r="45" spans="1:10" ht="17.25" customHeight="1" x14ac:dyDescent="0.2">
      <c r="A45" s="1236" t="s">
        <v>111</v>
      </c>
      <c r="B45" s="1236"/>
      <c r="C45" s="1236"/>
      <c r="D45" s="1236"/>
      <c r="E45" s="1236"/>
      <c r="F45" s="1236"/>
      <c r="G45" s="1236"/>
      <c r="H45" s="1236"/>
      <c r="I45" s="1236"/>
      <c r="J45" s="1236"/>
    </row>
    <row r="46" spans="1:10" ht="30" customHeight="1" x14ac:dyDescent="0.2">
      <c r="A46" s="1236" t="s">
        <v>101</v>
      </c>
      <c r="B46" s="1236"/>
      <c r="C46" s="1236"/>
      <c r="D46" s="1236"/>
      <c r="E46" s="1236"/>
      <c r="F46" s="1236"/>
      <c r="G46" s="1236"/>
      <c r="H46" s="1236"/>
      <c r="I46" s="1236"/>
      <c r="J46" s="1236"/>
    </row>
    <row r="47" spans="1:10" hidden="1" x14ac:dyDescent="0.2">
      <c r="A47" s="70"/>
      <c r="B47" s="70"/>
      <c r="C47" s="70"/>
      <c r="D47" s="70"/>
      <c r="E47" s="70"/>
      <c r="F47" s="70"/>
      <c r="G47" s="70"/>
      <c r="H47" s="70"/>
      <c r="I47" s="70"/>
      <c r="J47" s="70"/>
    </row>
    <row r="48" spans="1:10" hidden="1" x14ac:dyDescent="0.2">
      <c r="A48" s="70"/>
      <c r="B48" s="70"/>
      <c r="C48" s="70"/>
      <c r="D48" s="70"/>
      <c r="E48" s="70"/>
      <c r="F48" s="70"/>
      <c r="G48" s="70"/>
      <c r="H48" s="70"/>
      <c r="I48" s="70"/>
      <c r="J48" s="70"/>
    </row>
    <row r="49" spans="1:10" hidden="1" x14ac:dyDescent="0.2">
      <c r="A49" s="70"/>
      <c r="B49" s="70"/>
      <c r="C49" s="70"/>
      <c r="D49" s="70"/>
      <c r="E49" s="70"/>
      <c r="F49" s="70"/>
      <c r="G49" s="70"/>
      <c r="H49" s="70"/>
      <c r="I49" s="70"/>
      <c r="J49" s="70"/>
    </row>
    <row r="50" spans="1:10" hidden="1" x14ac:dyDescent="0.2">
      <c r="A50" s="70"/>
      <c r="B50" s="70"/>
      <c r="C50" s="70"/>
      <c r="D50" s="70"/>
      <c r="E50" s="70"/>
      <c r="F50" s="70"/>
      <c r="G50" s="70"/>
      <c r="H50" s="70"/>
      <c r="I50" s="70"/>
      <c r="J50" s="70"/>
    </row>
    <row r="51" spans="1:10" hidden="1" x14ac:dyDescent="0.2">
      <c r="A51" s="70"/>
      <c r="B51" s="70"/>
      <c r="C51" s="70"/>
      <c r="D51" s="70"/>
      <c r="E51" s="70"/>
      <c r="F51" s="70"/>
      <c r="G51" s="70"/>
      <c r="H51" s="70"/>
      <c r="I51" s="70"/>
      <c r="J51" s="70"/>
    </row>
    <row r="52" spans="1:10" hidden="1" x14ac:dyDescent="0.2">
      <c r="A52" s="70"/>
      <c r="B52" s="70"/>
      <c r="C52" s="70"/>
      <c r="D52" s="70"/>
      <c r="E52" s="70"/>
      <c r="F52" s="70"/>
      <c r="G52" s="70"/>
      <c r="H52" s="70"/>
      <c r="I52" s="70"/>
      <c r="J52" s="70"/>
    </row>
    <row r="53" spans="1:10" hidden="1" x14ac:dyDescent="0.2">
      <c r="A53" s="70"/>
      <c r="B53" s="70"/>
      <c r="C53" s="70"/>
      <c r="D53" s="70"/>
      <c r="E53" s="70"/>
      <c r="F53" s="70"/>
      <c r="G53" s="70"/>
      <c r="H53" s="70"/>
      <c r="I53" s="70"/>
      <c r="J53" s="70"/>
    </row>
    <row r="54" spans="1:10" hidden="1" x14ac:dyDescent="0.2">
      <c r="A54" s="70"/>
      <c r="B54" s="70"/>
      <c r="C54" s="70"/>
      <c r="D54" s="70"/>
      <c r="E54" s="70"/>
      <c r="F54" s="70"/>
      <c r="G54" s="70"/>
      <c r="H54" s="70"/>
      <c r="I54" s="70"/>
      <c r="J54" s="70"/>
    </row>
    <row r="55" spans="1:10" hidden="1" x14ac:dyDescent="0.2">
      <c r="A55" s="70"/>
      <c r="B55" s="70"/>
      <c r="C55" s="70"/>
      <c r="D55" s="70"/>
      <c r="E55" s="70"/>
      <c r="F55" s="70"/>
      <c r="G55" s="70"/>
      <c r="H55" s="70"/>
      <c r="I55" s="70"/>
      <c r="J55" s="70"/>
    </row>
    <row r="56" spans="1:10" hidden="1" x14ac:dyDescent="0.2">
      <c r="A56" s="70"/>
      <c r="B56" s="70"/>
      <c r="C56" s="70"/>
      <c r="D56" s="70"/>
      <c r="E56" s="70"/>
      <c r="F56" s="70"/>
      <c r="G56" s="70"/>
      <c r="H56" s="70"/>
      <c r="I56" s="70"/>
      <c r="J56" s="70"/>
    </row>
    <row r="57" spans="1:10" hidden="1" x14ac:dyDescent="0.2">
      <c r="A57" s="70"/>
      <c r="B57" s="70"/>
      <c r="C57" s="70"/>
      <c r="D57" s="70"/>
      <c r="E57" s="70"/>
      <c r="F57" s="70"/>
      <c r="G57" s="70"/>
      <c r="H57" s="70"/>
      <c r="I57" s="70"/>
      <c r="J57" s="70"/>
    </row>
  </sheetData>
  <sheetProtection password="DD66" sheet="1" selectLockedCells="1"/>
  <mergeCells count="16">
    <mergeCell ref="A6:J8"/>
    <mergeCell ref="A2:J3"/>
    <mergeCell ref="A4:J4"/>
    <mergeCell ref="A46:J46"/>
    <mergeCell ref="A43:J43"/>
    <mergeCell ref="D9:D12"/>
    <mergeCell ref="E9:G11"/>
    <mergeCell ref="H9:J11"/>
    <mergeCell ref="A9:A12"/>
    <mergeCell ref="B9:B12"/>
    <mergeCell ref="A45:J45"/>
    <mergeCell ref="C9:C12"/>
    <mergeCell ref="A40:J40"/>
    <mergeCell ref="A41:J41"/>
    <mergeCell ref="A44:J44"/>
    <mergeCell ref="A42:J42"/>
  </mergeCells>
  <phoneticPr fontId="2" type="noConversion"/>
  <dataValidations count="3">
    <dataValidation type="decimal" allowBlank="1" showInputMessage="1" showErrorMessage="1" error="Introduzca un valor numérico" sqref="B13:B37 I13:I37 D13:D37 F13:F37" xr:uid="{00000000-0002-0000-0500-000000000000}">
      <formula1>0</formula1>
      <formula2>99999999</formula2>
    </dataValidation>
    <dataValidation type="date" allowBlank="1" showInputMessage="1" showErrorMessage="1" error="Introduzca una fecha válida" sqref="C13:C37" xr:uid="{00000000-0002-0000-0500-000001000000}">
      <formula1>1</formula1>
      <formula2>401769</formula2>
    </dataValidation>
    <dataValidation type="decimal" allowBlank="1" showInputMessage="1" showErrorMessage="1" error="Introduzca un valor numérico y como máximo del 100%" sqref="E13:E37 H13:H37" xr:uid="{00000000-0002-0000-0500-000002000000}">
      <formula1>0</formula1>
      <formula2>1</formula2>
    </dataValidation>
  </dataValidations>
  <hyperlinks>
    <hyperlink ref="A43" r:id="rId1" xr:uid="{00000000-0004-0000-0500-000000000000}"/>
  </hyperlink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AA125"/>
  <sheetViews>
    <sheetView showGridLines="0" topLeftCell="A7" zoomScaleNormal="100" workbookViewId="0">
      <selection activeCell="L15" sqref="L15"/>
    </sheetView>
  </sheetViews>
  <sheetFormatPr baseColWidth="10" defaultColWidth="0" defaultRowHeight="12.75" zeroHeight="1" x14ac:dyDescent="0.2"/>
  <cols>
    <col min="1" max="1" width="1.7109375" style="70" customWidth="1"/>
    <col min="2" max="2" width="13.85546875" style="70" customWidth="1"/>
    <col min="3" max="3" width="10" style="70" customWidth="1"/>
    <col min="4" max="4" width="13.85546875" style="70" customWidth="1"/>
    <col min="5" max="5" width="10" style="70" customWidth="1"/>
    <col min="6" max="6" width="9.85546875" style="70" customWidth="1"/>
    <col min="7" max="7" width="10.28515625" style="70" customWidth="1"/>
    <col min="8" max="8" width="10.42578125" style="70" customWidth="1"/>
    <col min="9" max="9" width="11.42578125" style="70" customWidth="1"/>
    <col min="10" max="13" width="7.7109375" style="70" customWidth="1"/>
    <col min="14" max="14" width="9.7109375" style="70" customWidth="1"/>
    <col min="15" max="16" width="7.85546875" style="70" customWidth="1"/>
    <col min="17" max="17" width="9.7109375" style="70" customWidth="1"/>
    <col min="18" max="19" width="1.7109375" style="70" customWidth="1"/>
    <col min="20" max="16384" width="0" style="70" hidden="1"/>
  </cols>
  <sheetData>
    <row r="1" spans="1:27" ht="17.25" thickBot="1" x14ac:dyDescent="0.35">
      <c r="A1" s="221"/>
      <c r="B1" s="222"/>
      <c r="C1" s="222"/>
      <c r="D1" s="222"/>
      <c r="E1" s="222"/>
      <c r="F1" s="222"/>
      <c r="G1" s="222"/>
      <c r="H1" s="222"/>
      <c r="I1" s="222"/>
      <c r="J1" s="222"/>
      <c r="K1" s="222"/>
      <c r="L1" s="222"/>
      <c r="M1" s="222"/>
      <c r="N1" s="222"/>
      <c r="O1" s="222"/>
      <c r="P1" s="222"/>
      <c r="Q1" s="222"/>
      <c r="R1" s="223"/>
    </row>
    <row r="2" spans="1:27" ht="16.5" x14ac:dyDescent="0.3">
      <c r="A2" s="224"/>
      <c r="B2" s="1297" t="s">
        <v>136</v>
      </c>
      <c r="C2" s="1298"/>
      <c r="D2" s="1298"/>
      <c r="E2" s="1298"/>
      <c r="F2" s="1298"/>
      <c r="G2" s="1298"/>
      <c r="H2" s="1298"/>
      <c r="I2" s="1298"/>
      <c r="J2" s="1298"/>
      <c r="K2" s="1298"/>
      <c r="L2" s="1298"/>
      <c r="M2" s="1298"/>
      <c r="N2" s="1298"/>
      <c r="O2" s="1298"/>
      <c r="P2" s="1298"/>
      <c r="Q2" s="1299"/>
      <c r="R2" s="225"/>
    </row>
    <row r="3" spans="1:27" ht="39.75" customHeight="1" x14ac:dyDescent="0.3">
      <c r="A3" s="224"/>
      <c r="B3" s="791" t="s">
        <v>72</v>
      </c>
      <c r="C3" s="1115"/>
      <c r="D3" s="1115"/>
      <c r="E3" s="1115"/>
      <c r="F3" s="1115"/>
      <c r="G3" s="1300">
        <v>1642</v>
      </c>
      <c r="H3" s="1300"/>
      <c r="I3" s="1308" t="s">
        <v>117</v>
      </c>
      <c r="J3" s="1308"/>
      <c r="K3" s="1308"/>
      <c r="L3" s="1309" t="e">
        <f>IF(G3="","",365/W4*N104/G3)</f>
        <v>#DIV/0!</v>
      </c>
      <c r="M3" s="1309"/>
      <c r="N3" s="1309"/>
      <c r="O3" s="1306" t="s">
        <v>118</v>
      </c>
      <c r="P3" s="1306"/>
      <c r="Q3" s="1307"/>
      <c r="R3" s="225"/>
      <c r="U3" s="226" t="s">
        <v>252</v>
      </c>
    </row>
    <row r="4" spans="1:27" ht="22.5" customHeight="1" x14ac:dyDescent="0.3">
      <c r="A4" s="224"/>
      <c r="B4" s="1301" t="s">
        <v>143</v>
      </c>
      <c r="C4" s="1302"/>
      <c r="D4" s="1302"/>
      <c r="E4" s="1302"/>
      <c r="F4" s="1302"/>
      <c r="G4" s="72" t="s">
        <v>96</v>
      </c>
      <c r="H4" s="73"/>
      <c r="I4" s="1303" t="s">
        <v>142</v>
      </c>
      <c r="J4" s="1303"/>
      <c r="K4" s="1303"/>
      <c r="L4" s="1304"/>
      <c r="M4" s="1304"/>
      <c r="N4" s="1304"/>
      <c r="O4" s="1304"/>
      <c r="P4" s="1304"/>
      <c r="Q4" s="1305"/>
      <c r="R4" s="225"/>
      <c r="U4" s="227" t="s">
        <v>243</v>
      </c>
      <c r="V4" s="228">
        <f>'PROYECTO-DATOS GENERALES'!C11</f>
        <v>0</v>
      </c>
      <c r="W4" s="229">
        <f>V5-V4</f>
        <v>0</v>
      </c>
      <c r="X4" s="70" t="s">
        <v>253</v>
      </c>
    </row>
    <row r="5" spans="1:27" ht="26.25" customHeight="1" x14ac:dyDescent="0.3">
      <c r="A5" s="224"/>
      <c r="B5" s="1301"/>
      <c r="C5" s="1302"/>
      <c r="D5" s="1302"/>
      <c r="E5" s="1302"/>
      <c r="F5" s="1302"/>
      <c r="G5" s="72" t="s">
        <v>97</v>
      </c>
      <c r="H5" s="74"/>
      <c r="I5" s="1303" t="s">
        <v>144</v>
      </c>
      <c r="J5" s="1303"/>
      <c r="K5" s="1303"/>
      <c r="L5" s="1304" t="str">
        <f>IF(H5="","","(Indicar los nombres de los trabajadores afectados)")</f>
        <v/>
      </c>
      <c r="M5" s="1304"/>
      <c r="N5" s="1304"/>
      <c r="O5" s="1304"/>
      <c r="P5" s="1304"/>
      <c r="Q5" s="1305"/>
      <c r="R5" s="225"/>
      <c r="U5" s="227" t="s">
        <v>244</v>
      </c>
      <c r="V5" s="228">
        <f>'PROYECTO-DATOS GENERALES'!C12</f>
        <v>0</v>
      </c>
      <c r="W5" s="227"/>
    </row>
    <row r="6" spans="1:27" ht="21.75" customHeight="1" x14ac:dyDescent="0.3">
      <c r="A6" s="224"/>
      <c r="B6" s="1294" t="s">
        <v>155</v>
      </c>
      <c r="C6" s="1295"/>
      <c r="D6" s="1295"/>
      <c r="E6" s="1295"/>
      <c r="F6" s="1295"/>
      <c r="G6" s="1295"/>
      <c r="H6" s="1295"/>
      <c r="I6" s="1295"/>
      <c r="J6" s="1295"/>
      <c r="K6" s="1295"/>
      <c r="L6" s="1295"/>
      <c r="M6" s="1295"/>
      <c r="N6" s="1295"/>
      <c r="O6" s="1295"/>
      <c r="P6" s="1295"/>
      <c r="Q6" s="1296"/>
      <c r="R6" s="225"/>
    </row>
    <row r="7" spans="1:27" ht="16.5" x14ac:dyDescent="0.3">
      <c r="A7" s="224"/>
      <c r="B7" s="1294"/>
      <c r="C7" s="1295"/>
      <c r="D7" s="1295"/>
      <c r="E7" s="1295"/>
      <c r="F7" s="1295"/>
      <c r="G7" s="1295"/>
      <c r="H7" s="1295"/>
      <c r="I7" s="1295"/>
      <c r="J7" s="1295"/>
      <c r="K7" s="1295"/>
      <c r="L7" s="1295"/>
      <c r="M7" s="1295"/>
      <c r="N7" s="1295"/>
      <c r="O7" s="1295"/>
      <c r="P7" s="1295"/>
      <c r="Q7" s="1296"/>
      <c r="R7" s="225"/>
    </row>
    <row r="8" spans="1:27" ht="16.5" x14ac:dyDescent="0.3">
      <c r="A8" s="224"/>
      <c r="B8" s="230" t="s">
        <v>134</v>
      </c>
      <c r="C8" s="231"/>
      <c r="D8" s="231"/>
      <c r="E8" s="231"/>
      <c r="F8" s="231"/>
      <c r="G8" s="231"/>
      <c r="H8" s="231"/>
      <c r="I8" s="231"/>
      <c r="J8" s="231"/>
      <c r="K8" s="231"/>
      <c r="L8" s="231"/>
      <c r="M8" s="231"/>
      <c r="N8" s="231"/>
      <c r="O8" s="231"/>
      <c r="P8" s="231"/>
      <c r="Q8" s="225"/>
      <c r="R8" s="225"/>
      <c r="U8" s="226" t="s">
        <v>249</v>
      </c>
      <c r="W8" s="226" t="s">
        <v>250</v>
      </c>
      <c r="Y8" s="226" t="s">
        <v>251</v>
      </c>
      <c r="AA8" s="226" t="s">
        <v>254</v>
      </c>
    </row>
    <row r="9" spans="1:27" ht="30" customHeight="1" thickBot="1" x14ac:dyDescent="0.35">
      <c r="A9" s="224"/>
      <c r="B9" s="1287" t="s">
        <v>112</v>
      </c>
      <c r="C9" s="1288"/>
      <c r="D9" s="1288"/>
      <c r="E9" s="1288"/>
      <c r="F9" s="1288"/>
      <c r="G9" s="1288"/>
      <c r="H9" s="1288"/>
      <c r="I9" s="1288"/>
      <c r="J9" s="1288"/>
      <c r="K9" s="1288"/>
      <c r="L9" s="1288"/>
      <c r="M9" s="1288"/>
      <c r="N9" s="1288"/>
      <c r="O9" s="1288"/>
      <c r="P9" s="1288"/>
      <c r="Q9" s="1289"/>
      <c r="R9" s="225"/>
      <c r="U9" s="149" t="s">
        <v>78</v>
      </c>
      <c r="V9" s="149"/>
      <c r="W9" s="149" t="s">
        <v>113</v>
      </c>
      <c r="X9" s="149"/>
      <c r="Y9" s="149" t="s">
        <v>74</v>
      </c>
      <c r="Z9" s="149"/>
      <c r="AA9" s="149" t="s">
        <v>242</v>
      </c>
    </row>
    <row r="10" spans="1:27" ht="17.25" thickBot="1" x14ac:dyDescent="0.35">
      <c r="A10" s="224"/>
      <c r="B10" s="231"/>
      <c r="C10" s="231"/>
      <c r="D10" s="231"/>
      <c r="E10" s="231"/>
      <c r="F10" s="231"/>
      <c r="G10" s="231"/>
      <c r="H10" s="231"/>
      <c r="I10" s="231"/>
      <c r="J10" s="231"/>
      <c r="K10" s="231"/>
      <c r="L10" s="231"/>
      <c r="M10" s="231"/>
      <c r="N10" s="231"/>
      <c r="O10" s="231"/>
      <c r="P10" s="231"/>
      <c r="Q10" s="231"/>
      <c r="R10" s="225"/>
      <c r="U10" s="232" t="s">
        <v>237</v>
      </c>
      <c r="W10" s="232" t="s">
        <v>85</v>
      </c>
      <c r="Y10" s="232" t="s">
        <v>85</v>
      </c>
      <c r="AA10" s="233">
        <f>MAX(G3,H4,H5)</f>
        <v>1642</v>
      </c>
    </row>
    <row r="11" spans="1:27" ht="18" thickTop="1" thickBot="1" x14ac:dyDescent="0.35">
      <c r="A11" s="1261"/>
      <c r="B11" s="1262"/>
      <c r="C11" s="1262"/>
      <c r="D11" s="1262"/>
      <c r="E11" s="1262"/>
      <c r="F11" s="1262"/>
      <c r="G11" s="1262"/>
      <c r="H11" s="1262"/>
      <c r="I11" s="1262"/>
      <c r="J11" s="1262"/>
      <c r="K11" s="1262"/>
      <c r="L11" s="1262"/>
      <c r="M11" s="1262"/>
      <c r="N11" s="1262"/>
      <c r="O11" s="1262"/>
      <c r="P11" s="1262"/>
      <c r="Q11" s="1262"/>
      <c r="R11" s="1263"/>
      <c r="U11" s="232" t="s">
        <v>238</v>
      </c>
      <c r="W11" s="232" t="s">
        <v>76</v>
      </c>
      <c r="Y11" s="232" t="s">
        <v>76</v>
      </c>
      <c r="AA11" s="234" t="s">
        <v>255</v>
      </c>
    </row>
    <row r="12" spans="1:27" ht="17.25" thickBot="1" x14ac:dyDescent="0.35">
      <c r="A12" s="235"/>
      <c r="B12" s="1290" t="s">
        <v>114</v>
      </c>
      <c r="C12" s="1291"/>
      <c r="D12" s="1291"/>
      <c r="E12" s="1291"/>
      <c r="F12" s="1291"/>
      <c r="G12" s="1291"/>
      <c r="H12" s="1291"/>
      <c r="I12" s="1291"/>
      <c r="J12" s="1291"/>
      <c r="K12" s="1291"/>
      <c r="L12" s="1292"/>
      <c r="M12" s="1292"/>
      <c r="N12" s="1292"/>
      <c r="O12" s="1292"/>
      <c r="P12" s="1292"/>
      <c r="Q12" s="1293"/>
      <c r="R12" s="236"/>
      <c r="W12" s="232" t="s">
        <v>239</v>
      </c>
    </row>
    <row r="13" spans="1:27" ht="22.5" customHeight="1" thickBot="1" x14ac:dyDescent="0.35">
      <c r="A13" s="235"/>
      <c r="B13" s="1279" t="s">
        <v>108</v>
      </c>
      <c r="C13" s="1280"/>
      <c r="D13" s="795" t="s">
        <v>59</v>
      </c>
      <c r="E13" s="862" t="s">
        <v>73</v>
      </c>
      <c r="F13" s="1283"/>
      <c r="G13" s="903" t="s">
        <v>78</v>
      </c>
      <c r="H13" s="958" t="s">
        <v>113</v>
      </c>
      <c r="I13" s="898" t="s">
        <v>74</v>
      </c>
      <c r="J13" s="1273" t="s">
        <v>109</v>
      </c>
      <c r="K13" s="1274"/>
      <c r="L13" s="777" t="s">
        <v>61</v>
      </c>
      <c r="M13" s="777"/>
      <c r="N13" s="778"/>
      <c r="O13" s="776" t="s">
        <v>71</v>
      </c>
      <c r="P13" s="777"/>
      <c r="Q13" s="778"/>
      <c r="R13" s="238"/>
    </row>
    <row r="14" spans="1:27" ht="24.75" customHeight="1" thickBot="1" x14ac:dyDescent="0.35">
      <c r="A14" s="235"/>
      <c r="B14" s="1281"/>
      <c r="C14" s="1282"/>
      <c r="D14" s="1277"/>
      <c r="E14" s="1284"/>
      <c r="F14" s="1285"/>
      <c r="G14" s="1286"/>
      <c r="H14" s="1278"/>
      <c r="I14" s="1260"/>
      <c r="J14" s="239" t="s">
        <v>11</v>
      </c>
      <c r="K14" s="240" t="s">
        <v>12</v>
      </c>
      <c r="L14" s="239" t="s">
        <v>11</v>
      </c>
      <c r="M14" s="240" t="s">
        <v>12</v>
      </c>
      <c r="N14" s="241" t="s">
        <v>60</v>
      </c>
      <c r="O14" s="242" t="s">
        <v>11</v>
      </c>
      <c r="P14" s="237" t="s">
        <v>12</v>
      </c>
      <c r="Q14" s="243" t="s">
        <v>62</v>
      </c>
      <c r="R14" s="238"/>
    </row>
    <row r="15" spans="1:27" ht="16.5" x14ac:dyDescent="0.3">
      <c r="A15" s="235"/>
      <c r="B15" s="1268"/>
      <c r="C15" s="1269"/>
      <c r="D15" s="75"/>
      <c r="E15" s="1269"/>
      <c r="F15" s="1269"/>
      <c r="G15" s="75"/>
      <c r="H15" s="76"/>
      <c r="I15" s="76"/>
      <c r="J15" s="77"/>
      <c r="K15" s="217"/>
      <c r="L15" s="78"/>
      <c r="M15" s="219"/>
      <c r="N15" s="79">
        <f>SUM(L15:M15)</f>
        <v>0</v>
      </c>
      <c r="O15" s="80">
        <f>J15*L15</f>
        <v>0</v>
      </c>
      <c r="P15" s="81">
        <f>K15*M15</f>
        <v>0</v>
      </c>
      <c r="Q15" s="82">
        <f>SUM(O15:P15)</f>
        <v>0</v>
      </c>
      <c r="R15" s="236"/>
    </row>
    <row r="16" spans="1:27" ht="16.5" x14ac:dyDescent="0.3">
      <c r="A16" s="235"/>
      <c r="B16" s="1270"/>
      <c r="C16" s="1265"/>
      <c r="D16" s="75"/>
      <c r="E16" s="1264"/>
      <c r="F16" s="1265"/>
      <c r="G16" s="83"/>
      <c r="H16" s="76"/>
      <c r="I16" s="76"/>
      <c r="J16" s="84"/>
      <c r="K16" s="218"/>
      <c r="L16" s="86"/>
      <c r="M16" s="220"/>
      <c r="N16" s="88">
        <f t="shared" ref="N16:N99" si="0">SUM(L16:M16)</f>
        <v>0</v>
      </c>
      <c r="O16" s="89">
        <f t="shared" ref="O16:O99" si="1">J16*L16</f>
        <v>0</v>
      </c>
      <c r="P16" s="90">
        <f t="shared" ref="P16:P99" si="2">K16*M16</f>
        <v>0</v>
      </c>
      <c r="Q16" s="91">
        <f t="shared" ref="Q16:Q99" si="3">SUM(O16:P16)</f>
        <v>0</v>
      </c>
      <c r="R16" s="236"/>
    </row>
    <row r="17" spans="1:18" ht="16.5" x14ac:dyDescent="0.3">
      <c r="A17" s="235"/>
      <c r="B17" s="1270"/>
      <c r="C17" s="1265"/>
      <c r="D17" s="75"/>
      <c r="E17" s="1264"/>
      <c r="F17" s="1265"/>
      <c r="G17" s="83"/>
      <c r="H17" s="76"/>
      <c r="I17" s="76"/>
      <c r="J17" s="84"/>
      <c r="K17" s="218"/>
      <c r="L17" s="86"/>
      <c r="M17" s="220"/>
      <c r="N17" s="88">
        <f t="shared" si="0"/>
        <v>0</v>
      </c>
      <c r="O17" s="89">
        <f t="shared" si="1"/>
        <v>0</v>
      </c>
      <c r="P17" s="90">
        <f t="shared" si="2"/>
        <v>0</v>
      </c>
      <c r="Q17" s="91">
        <f t="shared" si="3"/>
        <v>0</v>
      </c>
      <c r="R17" s="236"/>
    </row>
    <row r="18" spans="1:18" ht="16.5" x14ac:dyDescent="0.3">
      <c r="A18" s="235"/>
      <c r="B18" s="1270"/>
      <c r="C18" s="1265"/>
      <c r="D18" s="75"/>
      <c r="E18" s="1264"/>
      <c r="F18" s="1265"/>
      <c r="G18" s="83"/>
      <c r="H18" s="76"/>
      <c r="I18" s="76"/>
      <c r="J18" s="84"/>
      <c r="K18" s="218"/>
      <c r="L18" s="86"/>
      <c r="M18" s="220"/>
      <c r="N18" s="88">
        <f t="shared" si="0"/>
        <v>0</v>
      </c>
      <c r="O18" s="89">
        <f t="shared" si="1"/>
        <v>0</v>
      </c>
      <c r="P18" s="90">
        <f t="shared" si="2"/>
        <v>0</v>
      </c>
      <c r="Q18" s="91">
        <f t="shared" si="3"/>
        <v>0</v>
      </c>
      <c r="R18" s="236"/>
    </row>
    <row r="19" spans="1:18" ht="16.5" x14ac:dyDescent="0.3">
      <c r="A19" s="235"/>
      <c r="B19" s="1270"/>
      <c r="C19" s="1265"/>
      <c r="D19" s="75"/>
      <c r="E19" s="1264"/>
      <c r="F19" s="1265"/>
      <c r="G19" s="83"/>
      <c r="H19" s="76"/>
      <c r="I19" s="76"/>
      <c r="J19" s="84"/>
      <c r="K19" s="218"/>
      <c r="L19" s="86"/>
      <c r="M19" s="220"/>
      <c r="N19" s="88">
        <f t="shared" si="0"/>
        <v>0</v>
      </c>
      <c r="O19" s="89">
        <f t="shared" si="1"/>
        <v>0</v>
      </c>
      <c r="P19" s="90">
        <f t="shared" si="2"/>
        <v>0</v>
      </c>
      <c r="Q19" s="91">
        <f t="shared" si="3"/>
        <v>0</v>
      </c>
      <c r="R19" s="236"/>
    </row>
    <row r="20" spans="1:18" ht="16.5" x14ac:dyDescent="0.3">
      <c r="A20" s="235"/>
      <c r="B20" s="1270"/>
      <c r="C20" s="1265"/>
      <c r="D20" s="75"/>
      <c r="E20" s="1264"/>
      <c r="F20" s="1265"/>
      <c r="G20" s="83"/>
      <c r="H20" s="76"/>
      <c r="I20" s="76"/>
      <c r="J20" s="84"/>
      <c r="K20" s="218"/>
      <c r="L20" s="86"/>
      <c r="M20" s="220"/>
      <c r="N20" s="88">
        <f t="shared" si="0"/>
        <v>0</v>
      </c>
      <c r="O20" s="89">
        <f t="shared" si="1"/>
        <v>0</v>
      </c>
      <c r="P20" s="90">
        <f t="shared" si="2"/>
        <v>0</v>
      </c>
      <c r="Q20" s="91">
        <f t="shared" si="3"/>
        <v>0</v>
      </c>
      <c r="R20" s="236"/>
    </row>
    <row r="21" spans="1:18" ht="16.5" x14ac:dyDescent="0.3">
      <c r="A21" s="235"/>
      <c r="B21" s="1270"/>
      <c r="C21" s="1265"/>
      <c r="D21" s="75"/>
      <c r="E21" s="1264"/>
      <c r="F21" s="1265"/>
      <c r="G21" s="83"/>
      <c r="H21" s="76"/>
      <c r="I21" s="76"/>
      <c r="J21" s="84"/>
      <c r="K21" s="218"/>
      <c r="L21" s="86"/>
      <c r="M21" s="220"/>
      <c r="N21" s="88">
        <f t="shared" si="0"/>
        <v>0</v>
      </c>
      <c r="O21" s="89">
        <f t="shared" si="1"/>
        <v>0</v>
      </c>
      <c r="P21" s="90">
        <f t="shared" si="2"/>
        <v>0</v>
      </c>
      <c r="Q21" s="91">
        <f t="shared" si="3"/>
        <v>0</v>
      </c>
      <c r="R21" s="236"/>
    </row>
    <row r="22" spans="1:18" ht="16.5" x14ac:dyDescent="0.3">
      <c r="A22" s="235"/>
      <c r="B22" s="1270"/>
      <c r="C22" s="1265"/>
      <c r="D22" s="75"/>
      <c r="E22" s="1264"/>
      <c r="F22" s="1265"/>
      <c r="G22" s="83"/>
      <c r="H22" s="76"/>
      <c r="I22" s="76"/>
      <c r="J22" s="84"/>
      <c r="K22" s="85"/>
      <c r="L22" s="86"/>
      <c r="M22" s="87"/>
      <c r="N22" s="88">
        <f t="shared" si="0"/>
        <v>0</v>
      </c>
      <c r="O22" s="89">
        <f t="shared" si="1"/>
        <v>0</v>
      </c>
      <c r="P22" s="90">
        <f t="shared" si="2"/>
        <v>0</v>
      </c>
      <c r="Q22" s="91">
        <f t="shared" si="3"/>
        <v>0</v>
      </c>
      <c r="R22" s="236"/>
    </row>
    <row r="23" spans="1:18" ht="16.5" x14ac:dyDescent="0.3">
      <c r="A23" s="235"/>
      <c r="B23" s="1270"/>
      <c r="C23" s="1265"/>
      <c r="D23" s="75"/>
      <c r="E23" s="1264"/>
      <c r="F23" s="1265"/>
      <c r="G23" s="83"/>
      <c r="H23" s="76"/>
      <c r="I23" s="76"/>
      <c r="J23" s="84"/>
      <c r="K23" s="85"/>
      <c r="L23" s="86"/>
      <c r="M23" s="87"/>
      <c r="N23" s="88">
        <f t="shared" si="0"/>
        <v>0</v>
      </c>
      <c r="O23" s="89">
        <f t="shared" si="1"/>
        <v>0</v>
      </c>
      <c r="P23" s="90">
        <f t="shared" si="2"/>
        <v>0</v>
      </c>
      <c r="Q23" s="91">
        <f t="shared" si="3"/>
        <v>0</v>
      </c>
      <c r="R23" s="236"/>
    </row>
    <row r="24" spans="1:18" ht="16.5" x14ac:dyDescent="0.3">
      <c r="A24" s="235"/>
      <c r="B24" s="1270"/>
      <c r="C24" s="1265"/>
      <c r="D24" s="75"/>
      <c r="E24" s="1264"/>
      <c r="F24" s="1265"/>
      <c r="G24" s="83"/>
      <c r="H24" s="76"/>
      <c r="I24" s="76"/>
      <c r="J24" s="84"/>
      <c r="K24" s="85"/>
      <c r="L24" s="86"/>
      <c r="M24" s="87"/>
      <c r="N24" s="88">
        <f t="shared" si="0"/>
        <v>0</v>
      </c>
      <c r="O24" s="89">
        <f t="shared" si="1"/>
        <v>0</v>
      </c>
      <c r="P24" s="90">
        <f t="shared" si="2"/>
        <v>0</v>
      </c>
      <c r="Q24" s="91">
        <f t="shared" si="3"/>
        <v>0</v>
      </c>
      <c r="R24" s="236"/>
    </row>
    <row r="25" spans="1:18" ht="16.5" x14ac:dyDescent="0.3">
      <c r="A25" s="235"/>
      <c r="B25" s="1270"/>
      <c r="C25" s="1265"/>
      <c r="D25" s="75"/>
      <c r="E25" s="1264"/>
      <c r="F25" s="1265"/>
      <c r="G25" s="83"/>
      <c r="H25" s="76"/>
      <c r="I25" s="76"/>
      <c r="J25" s="84"/>
      <c r="K25" s="85"/>
      <c r="L25" s="86"/>
      <c r="M25" s="87"/>
      <c r="N25" s="88">
        <f t="shared" si="0"/>
        <v>0</v>
      </c>
      <c r="O25" s="89">
        <f t="shared" si="1"/>
        <v>0</v>
      </c>
      <c r="P25" s="90">
        <f t="shared" si="2"/>
        <v>0</v>
      </c>
      <c r="Q25" s="91">
        <f t="shared" si="3"/>
        <v>0</v>
      </c>
      <c r="R25" s="236"/>
    </row>
    <row r="26" spans="1:18" ht="16.5" x14ac:dyDescent="0.3">
      <c r="A26" s="235"/>
      <c r="B26" s="1270"/>
      <c r="C26" s="1265"/>
      <c r="D26" s="75"/>
      <c r="E26" s="1264"/>
      <c r="F26" s="1265"/>
      <c r="G26" s="83"/>
      <c r="H26" s="76"/>
      <c r="I26" s="76"/>
      <c r="J26" s="84"/>
      <c r="K26" s="85"/>
      <c r="L26" s="86"/>
      <c r="M26" s="87"/>
      <c r="N26" s="88">
        <f t="shared" si="0"/>
        <v>0</v>
      </c>
      <c r="O26" s="89">
        <f t="shared" si="1"/>
        <v>0</v>
      </c>
      <c r="P26" s="90">
        <f t="shared" si="2"/>
        <v>0</v>
      </c>
      <c r="Q26" s="91">
        <f t="shared" si="3"/>
        <v>0</v>
      </c>
      <c r="R26" s="236"/>
    </row>
    <row r="27" spans="1:18" ht="16.5" x14ac:dyDescent="0.3">
      <c r="A27" s="235"/>
      <c r="B27" s="1270"/>
      <c r="C27" s="1265"/>
      <c r="D27" s="75"/>
      <c r="E27" s="1264"/>
      <c r="F27" s="1265"/>
      <c r="G27" s="83"/>
      <c r="H27" s="76"/>
      <c r="I27" s="76"/>
      <c r="J27" s="84"/>
      <c r="K27" s="85"/>
      <c r="L27" s="86"/>
      <c r="M27" s="87"/>
      <c r="N27" s="88">
        <f t="shared" si="0"/>
        <v>0</v>
      </c>
      <c r="O27" s="89">
        <f t="shared" si="1"/>
        <v>0</v>
      </c>
      <c r="P27" s="90">
        <f t="shared" si="2"/>
        <v>0</v>
      </c>
      <c r="Q27" s="91">
        <f t="shared" si="3"/>
        <v>0</v>
      </c>
      <c r="R27" s="236"/>
    </row>
    <row r="28" spans="1:18" ht="16.5" x14ac:dyDescent="0.3">
      <c r="A28" s="235"/>
      <c r="B28" s="1270"/>
      <c r="C28" s="1265"/>
      <c r="D28" s="75"/>
      <c r="E28" s="1264"/>
      <c r="F28" s="1265"/>
      <c r="G28" s="83"/>
      <c r="H28" s="76"/>
      <c r="I28" s="76"/>
      <c r="J28" s="84"/>
      <c r="K28" s="85"/>
      <c r="L28" s="86"/>
      <c r="M28" s="87"/>
      <c r="N28" s="88">
        <f t="shared" si="0"/>
        <v>0</v>
      </c>
      <c r="O28" s="89">
        <f t="shared" si="1"/>
        <v>0</v>
      </c>
      <c r="P28" s="90">
        <f t="shared" si="2"/>
        <v>0</v>
      </c>
      <c r="Q28" s="91">
        <f t="shared" si="3"/>
        <v>0</v>
      </c>
      <c r="R28" s="236"/>
    </row>
    <row r="29" spans="1:18" ht="16.5" x14ac:dyDescent="0.3">
      <c r="A29" s="235"/>
      <c r="B29" s="1270"/>
      <c r="C29" s="1265"/>
      <c r="D29" s="75"/>
      <c r="E29" s="1264"/>
      <c r="F29" s="1265"/>
      <c r="G29" s="83"/>
      <c r="H29" s="76"/>
      <c r="I29" s="76"/>
      <c r="J29" s="84"/>
      <c r="K29" s="85"/>
      <c r="L29" s="86"/>
      <c r="M29" s="87"/>
      <c r="N29" s="88">
        <f t="shared" si="0"/>
        <v>0</v>
      </c>
      <c r="O29" s="89">
        <f t="shared" si="1"/>
        <v>0</v>
      </c>
      <c r="P29" s="90">
        <f t="shared" si="2"/>
        <v>0</v>
      </c>
      <c r="Q29" s="91">
        <f t="shared" si="3"/>
        <v>0</v>
      </c>
      <c r="R29" s="236"/>
    </row>
    <row r="30" spans="1:18" ht="16.5" x14ac:dyDescent="0.3">
      <c r="A30" s="235"/>
      <c r="B30" s="1270"/>
      <c r="C30" s="1265"/>
      <c r="D30" s="75"/>
      <c r="E30" s="1264"/>
      <c r="F30" s="1265"/>
      <c r="G30" s="83"/>
      <c r="H30" s="76"/>
      <c r="I30" s="76"/>
      <c r="J30" s="84"/>
      <c r="K30" s="85"/>
      <c r="L30" s="86"/>
      <c r="M30" s="87"/>
      <c r="N30" s="88">
        <f t="shared" si="0"/>
        <v>0</v>
      </c>
      <c r="O30" s="89">
        <f t="shared" si="1"/>
        <v>0</v>
      </c>
      <c r="P30" s="90">
        <f t="shared" si="2"/>
        <v>0</v>
      </c>
      <c r="Q30" s="91">
        <f t="shared" si="3"/>
        <v>0</v>
      </c>
      <c r="R30" s="236"/>
    </row>
    <row r="31" spans="1:18" ht="16.5" x14ac:dyDescent="0.3">
      <c r="A31" s="235"/>
      <c r="B31" s="1270"/>
      <c r="C31" s="1265"/>
      <c r="D31" s="75"/>
      <c r="E31" s="1264"/>
      <c r="F31" s="1265"/>
      <c r="G31" s="83"/>
      <c r="H31" s="76"/>
      <c r="I31" s="76"/>
      <c r="J31" s="84"/>
      <c r="K31" s="85"/>
      <c r="L31" s="86"/>
      <c r="M31" s="87"/>
      <c r="N31" s="88">
        <f t="shared" si="0"/>
        <v>0</v>
      </c>
      <c r="O31" s="89">
        <f t="shared" si="1"/>
        <v>0</v>
      </c>
      <c r="P31" s="90">
        <f t="shared" si="2"/>
        <v>0</v>
      </c>
      <c r="Q31" s="91">
        <f t="shared" si="3"/>
        <v>0</v>
      </c>
      <c r="R31" s="236"/>
    </row>
    <row r="32" spans="1:18" ht="16.5" x14ac:dyDescent="0.3">
      <c r="A32" s="235"/>
      <c r="B32" s="1270"/>
      <c r="C32" s="1265"/>
      <c r="D32" s="75"/>
      <c r="E32" s="1264"/>
      <c r="F32" s="1265"/>
      <c r="G32" s="83"/>
      <c r="H32" s="76"/>
      <c r="I32" s="76"/>
      <c r="J32" s="84"/>
      <c r="K32" s="85"/>
      <c r="L32" s="86"/>
      <c r="M32" s="87"/>
      <c r="N32" s="88">
        <f t="shared" si="0"/>
        <v>0</v>
      </c>
      <c r="O32" s="89">
        <f t="shared" si="1"/>
        <v>0</v>
      </c>
      <c r="P32" s="90">
        <f t="shared" si="2"/>
        <v>0</v>
      </c>
      <c r="Q32" s="91">
        <f t="shared" si="3"/>
        <v>0</v>
      </c>
      <c r="R32" s="236"/>
    </row>
    <row r="33" spans="1:18" ht="16.5" x14ac:dyDescent="0.3">
      <c r="A33" s="235"/>
      <c r="B33" s="1270"/>
      <c r="C33" s="1265"/>
      <c r="D33" s="75"/>
      <c r="E33" s="1264"/>
      <c r="F33" s="1265"/>
      <c r="G33" s="83"/>
      <c r="H33" s="76"/>
      <c r="I33" s="76"/>
      <c r="J33" s="84"/>
      <c r="K33" s="85"/>
      <c r="L33" s="86"/>
      <c r="M33" s="87"/>
      <c r="N33" s="88">
        <f t="shared" si="0"/>
        <v>0</v>
      </c>
      <c r="O33" s="89">
        <f t="shared" si="1"/>
        <v>0</v>
      </c>
      <c r="P33" s="90">
        <f t="shared" si="2"/>
        <v>0</v>
      </c>
      <c r="Q33" s="91">
        <f t="shared" si="3"/>
        <v>0</v>
      </c>
      <c r="R33" s="236"/>
    </row>
    <row r="34" spans="1:18" ht="16.5" x14ac:dyDescent="0.3">
      <c r="A34" s="235"/>
      <c r="B34" s="1270"/>
      <c r="C34" s="1265"/>
      <c r="D34" s="75"/>
      <c r="E34" s="1264"/>
      <c r="F34" s="1265"/>
      <c r="G34" s="83"/>
      <c r="H34" s="76"/>
      <c r="I34" s="76"/>
      <c r="J34" s="84"/>
      <c r="K34" s="85"/>
      <c r="L34" s="86"/>
      <c r="M34" s="87"/>
      <c r="N34" s="88">
        <f t="shared" si="0"/>
        <v>0</v>
      </c>
      <c r="O34" s="89">
        <f t="shared" si="1"/>
        <v>0</v>
      </c>
      <c r="P34" s="90">
        <f t="shared" si="2"/>
        <v>0</v>
      </c>
      <c r="Q34" s="91">
        <f t="shared" si="3"/>
        <v>0</v>
      </c>
      <c r="R34" s="236"/>
    </row>
    <row r="35" spans="1:18" ht="16.5" x14ac:dyDescent="0.3">
      <c r="A35" s="235"/>
      <c r="B35" s="1270"/>
      <c r="C35" s="1265"/>
      <c r="D35" s="75"/>
      <c r="E35" s="1264"/>
      <c r="F35" s="1265"/>
      <c r="G35" s="83"/>
      <c r="H35" s="76"/>
      <c r="I35" s="76"/>
      <c r="J35" s="84"/>
      <c r="K35" s="85"/>
      <c r="L35" s="86"/>
      <c r="M35" s="87"/>
      <c r="N35" s="88">
        <f t="shared" si="0"/>
        <v>0</v>
      </c>
      <c r="O35" s="89">
        <f t="shared" si="1"/>
        <v>0</v>
      </c>
      <c r="P35" s="90">
        <f t="shared" si="2"/>
        <v>0</v>
      </c>
      <c r="Q35" s="91">
        <f t="shared" si="3"/>
        <v>0</v>
      </c>
      <c r="R35" s="236"/>
    </row>
    <row r="36" spans="1:18" ht="16.5" x14ac:dyDescent="0.3">
      <c r="A36" s="235"/>
      <c r="B36" s="1270"/>
      <c r="C36" s="1265"/>
      <c r="D36" s="75"/>
      <c r="E36" s="1264"/>
      <c r="F36" s="1265"/>
      <c r="G36" s="83"/>
      <c r="H36" s="76"/>
      <c r="I36" s="76"/>
      <c r="J36" s="84"/>
      <c r="K36" s="85"/>
      <c r="L36" s="86"/>
      <c r="M36" s="87"/>
      <c r="N36" s="88">
        <f t="shared" si="0"/>
        <v>0</v>
      </c>
      <c r="O36" s="89">
        <f t="shared" si="1"/>
        <v>0</v>
      </c>
      <c r="P36" s="90">
        <f t="shared" si="2"/>
        <v>0</v>
      </c>
      <c r="Q36" s="91">
        <f t="shared" si="3"/>
        <v>0</v>
      </c>
      <c r="R36" s="236"/>
    </row>
    <row r="37" spans="1:18" ht="16.5" x14ac:dyDescent="0.3">
      <c r="A37" s="235"/>
      <c r="B37" s="1270"/>
      <c r="C37" s="1265"/>
      <c r="D37" s="75"/>
      <c r="E37" s="1264"/>
      <c r="F37" s="1265"/>
      <c r="G37" s="83"/>
      <c r="H37" s="76"/>
      <c r="I37" s="76"/>
      <c r="J37" s="84"/>
      <c r="K37" s="85"/>
      <c r="L37" s="86"/>
      <c r="M37" s="87"/>
      <c r="N37" s="88">
        <f t="shared" si="0"/>
        <v>0</v>
      </c>
      <c r="O37" s="89">
        <f t="shared" si="1"/>
        <v>0</v>
      </c>
      <c r="P37" s="90">
        <f t="shared" si="2"/>
        <v>0</v>
      </c>
      <c r="Q37" s="91">
        <f t="shared" si="3"/>
        <v>0</v>
      </c>
      <c r="R37" s="236"/>
    </row>
    <row r="38" spans="1:18" ht="16.5" x14ac:dyDescent="0.3">
      <c r="A38" s="235"/>
      <c r="B38" s="1270"/>
      <c r="C38" s="1265"/>
      <c r="D38" s="75"/>
      <c r="E38" s="1264"/>
      <c r="F38" s="1265"/>
      <c r="G38" s="83"/>
      <c r="H38" s="76"/>
      <c r="I38" s="76"/>
      <c r="J38" s="84"/>
      <c r="K38" s="85"/>
      <c r="L38" s="86"/>
      <c r="M38" s="87"/>
      <c r="N38" s="88">
        <f t="shared" si="0"/>
        <v>0</v>
      </c>
      <c r="O38" s="89">
        <f t="shared" si="1"/>
        <v>0</v>
      </c>
      <c r="P38" s="90">
        <f t="shared" si="2"/>
        <v>0</v>
      </c>
      <c r="Q38" s="91">
        <f t="shared" si="3"/>
        <v>0</v>
      </c>
      <c r="R38" s="236"/>
    </row>
    <row r="39" spans="1:18" ht="16.5" x14ac:dyDescent="0.3">
      <c r="A39" s="235"/>
      <c r="B39" s="1270"/>
      <c r="C39" s="1265"/>
      <c r="D39" s="75"/>
      <c r="E39" s="1264"/>
      <c r="F39" s="1265"/>
      <c r="G39" s="83"/>
      <c r="H39" s="76"/>
      <c r="I39" s="76"/>
      <c r="J39" s="84"/>
      <c r="K39" s="85"/>
      <c r="L39" s="86"/>
      <c r="M39" s="87"/>
      <c r="N39" s="88">
        <f t="shared" si="0"/>
        <v>0</v>
      </c>
      <c r="O39" s="89">
        <f t="shared" si="1"/>
        <v>0</v>
      </c>
      <c r="P39" s="90">
        <f t="shared" si="2"/>
        <v>0</v>
      </c>
      <c r="Q39" s="91">
        <f t="shared" si="3"/>
        <v>0</v>
      </c>
      <c r="R39" s="236"/>
    </row>
    <row r="40" spans="1:18" ht="16.5" x14ac:dyDescent="0.3">
      <c r="A40" s="235"/>
      <c r="B40" s="1270"/>
      <c r="C40" s="1265"/>
      <c r="D40" s="75"/>
      <c r="E40" s="1264"/>
      <c r="F40" s="1265"/>
      <c r="G40" s="83"/>
      <c r="H40" s="76"/>
      <c r="I40" s="76"/>
      <c r="J40" s="84"/>
      <c r="K40" s="85"/>
      <c r="L40" s="86"/>
      <c r="M40" s="87"/>
      <c r="N40" s="88">
        <f t="shared" si="0"/>
        <v>0</v>
      </c>
      <c r="O40" s="89">
        <f t="shared" si="1"/>
        <v>0</v>
      </c>
      <c r="P40" s="90">
        <f t="shared" si="2"/>
        <v>0</v>
      </c>
      <c r="Q40" s="91">
        <f t="shared" si="3"/>
        <v>0</v>
      </c>
      <c r="R40" s="236"/>
    </row>
    <row r="41" spans="1:18" ht="16.5" x14ac:dyDescent="0.3">
      <c r="A41" s="235"/>
      <c r="B41" s="1270"/>
      <c r="C41" s="1265"/>
      <c r="D41" s="75"/>
      <c r="E41" s="1264"/>
      <c r="F41" s="1265"/>
      <c r="G41" s="83"/>
      <c r="H41" s="76"/>
      <c r="I41" s="76"/>
      <c r="J41" s="84"/>
      <c r="K41" s="85"/>
      <c r="L41" s="86"/>
      <c r="M41" s="87"/>
      <c r="N41" s="88">
        <f t="shared" si="0"/>
        <v>0</v>
      </c>
      <c r="O41" s="89">
        <f t="shared" si="1"/>
        <v>0</v>
      </c>
      <c r="P41" s="90">
        <f t="shared" si="2"/>
        <v>0</v>
      </c>
      <c r="Q41" s="91">
        <f t="shared" si="3"/>
        <v>0</v>
      </c>
      <c r="R41" s="236"/>
    </row>
    <row r="42" spans="1:18" ht="16.5" x14ac:dyDescent="0.3">
      <c r="A42" s="235"/>
      <c r="B42" s="1270"/>
      <c r="C42" s="1265"/>
      <c r="D42" s="75"/>
      <c r="E42" s="1264"/>
      <c r="F42" s="1265"/>
      <c r="G42" s="83"/>
      <c r="H42" s="76"/>
      <c r="I42" s="76"/>
      <c r="J42" s="84"/>
      <c r="K42" s="85"/>
      <c r="L42" s="86"/>
      <c r="M42" s="87"/>
      <c r="N42" s="88">
        <f t="shared" si="0"/>
        <v>0</v>
      </c>
      <c r="O42" s="89">
        <f t="shared" si="1"/>
        <v>0</v>
      </c>
      <c r="P42" s="90">
        <f t="shared" si="2"/>
        <v>0</v>
      </c>
      <c r="Q42" s="91">
        <f t="shared" si="3"/>
        <v>0</v>
      </c>
      <c r="R42" s="236"/>
    </row>
    <row r="43" spans="1:18" ht="16.5" x14ac:dyDescent="0.3">
      <c r="A43" s="235"/>
      <c r="B43" s="1270"/>
      <c r="C43" s="1265"/>
      <c r="D43" s="75"/>
      <c r="E43" s="1264"/>
      <c r="F43" s="1265"/>
      <c r="G43" s="83"/>
      <c r="H43" s="76"/>
      <c r="I43" s="76"/>
      <c r="J43" s="84"/>
      <c r="K43" s="85"/>
      <c r="L43" s="86"/>
      <c r="M43" s="87"/>
      <c r="N43" s="88">
        <f t="shared" si="0"/>
        <v>0</v>
      </c>
      <c r="O43" s="89">
        <f t="shared" si="1"/>
        <v>0</v>
      </c>
      <c r="P43" s="90">
        <f t="shared" si="2"/>
        <v>0</v>
      </c>
      <c r="Q43" s="91">
        <f t="shared" si="3"/>
        <v>0</v>
      </c>
      <c r="R43" s="236"/>
    </row>
    <row r="44" spans="1:18" ht="16.5" x14ac:dyDescent="0.3">
      <c r="A44" s="235"/>
      <c r="B44" s="1270"/>
      <c r="C44" s="1265"/>
      <c r="D44" s="75"/>
      <c r="E44" s="1264"/>
      <c r="F44" s="1265"/>
      <c r="G44" s="83"/>
      <c r="H44" s="76"/>
      <c r="I44" s="76"/>
      <c r="J44" s="84"/>
      <c r="K44" s="85"/>
      <c r="L44" s="86"/>
      <c r="M44" s="87"/>
      <c r="N44" s="88">
        <f t="shared" si="0"/>
        <v>0</v>
      </c>
      <c r="O44" s="89">
        <f t="shared" si="1"/>
        <v>0</v>
      </c>
      <c r="P44" s="90">
        <f t="shared" si="2"/>
        <v>0</v>
      </c>
      <c r="Q44" s="91">
        <f t="shared" si="3"/>
        <v>0</v>
      </c>
      <c r="R44" s="236"/>
    </row>
    <row r="45" spans="1:18" ht="16.5" x14ac:dyDescent="0.3">
      <c r="A45" s="235"/>
      <c r="B45" s="1270"/>
      <c r="C45" s="1265"/>
      <c r="D45" s="75"/>
      <c r="E45" s="1264"/>
      <c r="F45" s="1265"/>
      <c r="G45" s="83"/>
      <c r="H45" s="76"/>
      <c r="I45" s="76"/>
      <c r="J45" s="84"/>
      <c r="K45" s="85"/>
      <c r="L45" s="86"/>
      <c r="M45" s="87"/>
      <c r="N45" s="88">
        <f t="shared" si="0"/>
        <v>0</v>
      </c>
      <c r="O45" s="89">
        <f t="shared" si="1"/>
        <v>0</v>
      </c>
      <c r="P45" s="90">
        <f t="shared" si="2"/>
        <v>0</v>
      </c>
      <c r="Q45" s="91">
        <f t="shared" si="3"/>
        <v>0</v>
      </c>
      <c r="R45" s="236"/>
    </row>
    <row r="46" spans="1:18" ht="16.5" x14ac:dyDescent="0.3">
      <c r="A46" s="235"/>
      <c r="B46" s="1270"/>
      <c r="C46" s="1265"/>
      <c r="D46" s="75"/>
      <c r="E46" s="1264"/>
      <c r="F46" s="1265"/>
      <c r="G46" s="83"/>
      <c r="H46" s="76"/>
      <c r="I46" s="76"/>
      <c r="J46" s="84"/>
      <c r="K46" s="85"/>
      <c r="L46" s="86"/>
      <c r="M46" s="87"/>
      <c r="N46" s="88">
        <f t="shared" si="0"/>
        <v>0</v>
      </c>
      <c r="O46" s="89">
        <f t="shared" si="1"/>
        <v>0</v>
      </c>
      <c r="P46" s="90">
        <f t="shared" si="2"/>
        <v>0</v>
      </c>
      <c r="Q46" s="91">
        <f t="shared" si="3"/>
        <v>0</v>
      </c>
      <c r="R46" s="236"/>
    </row>
    <row r="47" spans="1:18" ht="16.5" x14ac:dyDescent="0.3">
      <c r="A47" s="235"/>
      <c r="B47" s="1270"/>
      <c r="C47" s="1265"/>
      <c r="D47" s="75"/>
      <c r="E47" s="1264"/>
      <c r="F47" s="1265"/>
      <c r="G47" s="83"/>
      <c r="H47" s="76"/>
      <c r="I47" s="76"/>
      <c r="J47" s="84"/>
      <c r="K47" s="85"/>
      <c r="L47" s="86"/>
      <c r="M47" s="87"/>
      <c r="N47" s="88">
        <f t="shared" si="0"/>
        <v>0</v>
      </c>
      <c r="O47" s="89">
        <f t="shared" si="1"/>
        <v>0</v>
      </c>
      <c r="P47" s="90">
        <f t="shared" si="2"/>
        <v>0</v>
      </c>
      <c r="Q47" s="91">
        <f t="shared" si="3"/>
        <v>0</v>
      </c>
      <c r="R47" s="236"/>
    </row>
    <row r="48" spans="1:18" ht="16.5" x14ac:dyDescent="0.3">
      <c r="A48" s="235"/>
      <c r="B48" s="1270"/>
      <c r="C48" s="1265"/>
      <c r="D48" s="75"/>
      <c r="E48" s="1264"/>
      <c r="F48" s="1265"/>
      <c r="G48" s="83"/>
      <c r="H48" s="76"/>
      <c r="I48" s="76"/>
      <c r="J48" s="84"/>
      <c r="K48" s="85"/>
      <c r="L48" s="86"/>
      <c r="M48" s="87"/>
      <c r="N48" s="88">
        <f t="shared" si="0"/>
        <v>0</v>
      </c>
      <c r="O48" s="89">
        <f t="shared" si="1"/>
        <v>0</v>
      </c>
      <c r="P48" s="90">
        <f t="shared" si="2"/>
        <v>0</v>
      </c>
      <c r="Q48" s="91">
        <f t="shared" si="3"/>
        <v>0</v>
      </c>
      <c r="R48" s="236"/>
    </row>
    <row r="49" spans="1:18" ht="16.5" x14ac:dyDescent="0.3">
      <c r="A49" s="235"/>
      <c r="B49" s="1270"/>
      <c r="C49" s="1265"/>
      <c r="D49" s="75"/>
      <c r="E49" s="1264"/>
      <c r="F49" s="1265"/>
      <c r="G49" s="83"/>
      <c r="H49" s="76"/>
      <c r="I49" s="76"/>
      <c r="J49" s="84"/>
      <c r="K49" s="85"/>
      <c r="L49" s="86"/>
      <c r="M49" s="87"/>
      <c r="N49" s="88">
        <f t="shared" si="0"/>
        <v>0</v>
      </c>
      <c r="O49" s="89">
        <f t="shared" si="1"/>
        <v>0</v>
      </c>
      <c r="P49" s="90">
        <f t="shared" si="2"/>
        <v>0</v>
      </c>
      <c r="Q49" s="91">
        <f t="shared" si="3"/>
        <v>0</v>
      </c>
      <c r="R49" s="236"/>
    </row>
    <row r="50" spans="1:18" ht="16.5" x14ac:dyDescent="0.3">
      <c r="A50" s="235"/>
      <c r="B50" s="1270"/>
      <c r="C50" s="1265"/>
      <c r="D50" s="75"/>
      <c r="E50" s="1264"/>
      <c r="F50" s="1265"/>
      <c r="G50" s="83"/>
      <c r="H50" s="76"/>
      <c r="I50" s="76"/>
      <c r="J50" s="84"/>
      <c r="K50" s="85"/>
      <c r="L50" s="86"/>
      <c r="M50" s="87"/>
      <c r="N50" s="88">
        <f t="shared" si="0"/>
        <v>0</v>
      </c>
      <c r="O50" s="89">
        <f t="shared" si="1"/>
        <v>0</v>
      </c>
      <c r="P50" s="90">
        <f t="shared" si="2"/>
        <v>0</v>
      </c>
      <c r="Q50" s="91">
        <f t="shared" si="3"/>
        <v>0</v>
      </c>
      <c r="R50" s="236"/>
    </row>
    <row r="51" spans="1:18" ht="16.5" x14ac:dyDescent="0.3">
      <c r="A51" s="235"/>
      <c r="B51" s="1270"/>
      <c r="C51" s="1265"/>
      <c r="D51" s="75"/>
      <c r="E51" s="1264"/>
      <c r="F51" s="1265"/>
      <c r="G51" s="83"/>
      <c r="H51" s="76"/>
      <c r="I51" s="76"/>
      <c r="J51" s="84"/>
      <c r="K51" s="85"/>
      <c r="L51" s="86"/>
      <c r="M51" s="87"/>
      <c r="N51" s="88">
        <f t="shared" si="0"/>
        <v>0</v>
      </c>
      <c r="O51" s="89">
        <f t="shared" si="1"/>
        <v>0</v>
      </c>
      <c r="P51" s="90">
        <f t="shared" si="2"/>
        <v>0</v>
      </c>
      <c r="Q51" s="91">
        <f t="shared" si="3"/>
        <v>0</v>
      </c>
      <c r="R51" s="236"/>
    </row>
    <row r="52" spans="1:18" ht="16.5" x14ac:dyDescent="0.3">
      <c r="A52" s="235"/>
      <c r="B52" s="1270"/>
      <c r="C52" s="1265"/>
      <c r="D52" s="75"/>
      <c r="E52" s="1264"/>
      <c r="F52" s="1265"/>
      <c r="G52" s="83"/>
      <c r="H52" s="76"/>
      <c r="I52" s="76"/>
      <c r="J52" s="84"/>
      <c r="K52" s="85"/>
      <c r="L52" s="86"/>
      <c r="M52" s="87"/>
      <c r="N52" s="88">
        <f t="shared" si="0"/>
        <v>0</v>
      </c>
      <c r="O52" s="89">
        <f t="shared" si="1"/>
        <v>0</v>
      </c>
      <c r="P52" s="90">
        <f t="shared" si="2"/>
        <v>0</v>
      </c>
      <c r="Q52" s="91">
        <f t="shared" si="3"/>
        <v>0</v>
      </c>
      <c r="R52" s="236"/>
    </row>
    <row r="53" spans="1:18" ht="16.5" x14ac:dyDescent="0.3">
      <c r="A53" s="235"/>
      <c r="B53" s="1270"/>
      <c r="C53" s="1265"/>
      <c r="D53" s="75"/>
      <c r="E53" s="1264"/>
      <c r="F53" s="1265"/>
      <c r="G53" s="83"/>
      <c r="H53" s="76"/>
      <c r="I53" s="76"/>
      <c r="J53" s="84"/>
      <c r="K53" s="85"/>
      <c r="L53" s="86"/>
      <c r="M53" s="87"/>
      <c r="N53" s="88">
        <f t="shared" si="0"/>
        <v>0</v>
      </c>
      <c r="O53" s="89">
        <f t="shared" si="1"/>
        <v>0</v>
      </c>
      <c r="P53" s="90">
        <f t="shared" si="2"/>
        <v>0</v>
      </c>
      <c r="Q53" s="91">
        <f t="shared" si="3"/>
        <v>0</v>
      </c>
      <c r="R53" s="236"/>
    </row>
    <row r="54" spans="1:18" ht="16.5" x14ac:dyDescent="0.3">
      <c r="A54" s="235"/>
      <c r="B54" s="1270"/>
      <c r="C54" s="1265"/>
      <c r="D54" s="75"/>
      <c r="E54" s="1264"/>
      <c r="F54" s="1265"/>
      <c r="G54" s="83"/>
      <c r="H54" s="76"/>
      <c r="I54" s="76"/>
      <c r="J54" s="84"/>
      <c r="K54" s="85"/>
      <c r="L54" s="86"/>
      <c r="M54" s="87"/>
      <c r="N54" s="88">
        <f t="shared" si="0"/>
        <v>0</v>
      </c>
      <c r="O54" s="89">
        <f t="shared" si="1"/>
        <v>0</v>
      </c>
      <c r="P54" s="90">
        <f t="shared" si="2"/>
        <v>0</v>
      </c>
      <c r="Q54" s="91">
        <f t="shared" si="3"/>
        <v>0</v>
      </c>
      <c r="R54" s="236"/>
    </row>
    <row r="55" spans="1:18" ht="16.5" x14ac:dyDescent="0.3">
      <c r="A55" s="235"/>
      <c r="B55" s="1270"/>
      <c r="C55" s="1265"/>
      <c r="D55" s="75"/>
      <c r="E55" s="1264"/>
      <c r="F55" s="1265"/>
      <c r="G55" s="83"/>
      <c r="H55" s="76"/>
      <c r="I55" s="76"/>
      <c r="J55" s="84"/>
      <c r="K55" s="85"/>
      <c r="L55" s="86"/>
      <c r="M55" s="87"/>
      <c r="N55" s="88">
        <f t="shared" ref="N55:N86" si="4">SUM(L55:M55)</f>
        <v>0</v>
      </c>
      <c r="O55" s="89">
        <f t="shared" ref="O55:O86" si="5">J55*L55</f>
        <v>0</v>
      </c>
      <c r="P55" s="90">
        <f t="shared" ref="P55:P86" si="6">K55*M55</f>
        <v>0</v>
      </c>
      <c r="Q55" s="91">
        <f t="shared" ref="Q55:Q86" si="7">SUM(O55:P55)</f>
        <v>0</v>
      </c>
      <c r="R55" s="236"/>
    </row>
    <row r="56" spans="1:18" ht="16.5" x14ac:dyDescent="0.3">
      <c r="A56" s="235"/>
      <c r="B56" s="385"/>
      <c r="C56" s="384"/>
      <c r="D56" s="75"/>
      <c r="E56" s="383"/>
      <c r="F56" s="384"/>
      <c r="G56" s="83"/>
      <c r="H56" s="76"/>
      <c r="I56" s="76"/>
      <c r="J56" s="84"/>
      <c r="K56" s="85"/>
      <c r="L56" s="86"/>
      <c r="M56" s="87"/>
      <c r="N56" s="88">
        <f t="shared" si="4"/>
        <v>0</v>
      </c>
      <c r="O56" s="89">
        <f t="shared" si="5"/>
        <v>0</v>
      </c>
      <c r="P56" s="90">
        <f t="shared" si="6"/>
        <v>0</v>
      </c>
      <c r="Q56" s="91">
        <f t="shared" si="7"/>
        <v>0</v>
      </c>
      <c r="R56" s="236"/>
    </row>
    <row r="57" spans="1:18" ht="16.5" x14ac:dyDescent="0.3">
      <c r="A57" s="235"/>
      <c r="B57" s="385"/>
      <c r="C57" s="384"/>
      <c r="D57" s="75"/>
      <c r="E57" s="383"/>
      <c r="F57" s="384"/>
      <c r="G57" s="83"/>
      <c r="H57" s="76"/>
      <c r="I57" s="76"/>
      <c r="J57" s="84"/>
      <c r="K57" s="85"/>
      <c r="L57" s="86"/>
      <c r="M57" s="87"/>
      <c r="N57" s="88">
        <f t="shared" si="4"/>
        <v>0</v>
      </c>
      <c r="O57" s="89">
        <f t="shared" si="5"/>
        <v>0</v>
      </c>
      <c r="P57" s="90">
        <f t="shared" si="6"/>
        <v>0</v>
      </c>
      <c r="Q57" s="91">
        <f t="shared" si="7"/>
        <v>0</v>
      </c>
      <c r="R57" s="236"/>
    </row>
    <row r="58" spans="1:18" ht="16.5" x14ac:dyDescent="0.3">
      <c r="A58" s="235"/>
      <c r="B58" s="385"/>
      <c r="C58" s="384"/>
      <c r="D58" s="75"/>
      <c r="E58" s="383"/>
      <c r="F58" s="384"/>
      <c r="G58" s="83"/>
      <c r="H58" s="76"/>
      <c r="I58" s="76"/>
      <c r="J58" s="84"/>
      <c r="K58" s="85"/>
      <c r="L58" s="86"/>
      <c r="M58" s="87"/>
      <c r="N58" s="88">
        <f t="shared" si="4"/>
        <v>0</v>
      </c>
      <c r="O58" s="89">
        <f t="shared" si="5"/>
        <v>0</v>
      </c>
      <c r="P58" s="90">
        <f t="shared" si="6"/>
        <v>0</v>
      </c>
      <c r="Q58" s="91">
        <f t="shared" si="7"/>
        <v>0</v>
      </c>
      <c r="R58" s="236"/>
    </row>
    <row r="59" spans="1:18" ht="16.5" x14ac:dyDescent="0.3">
      <c r="A59" s="235"/>
      <c r="B59" s="385"/>
      <c r="C59" s="384"/>
      <c r="D59" s="75"/>
      <c r="E59" s="383"/>
      <c r="F59" s="384"/>
      <c r="G59" s="83"/>
      <c r="H59" s="76"/>
      <c r="I59" s="76"/>
      <c r="J59" s="84"/>
      <c r="K59" s="85"/>
      <c r="L59" s="86"/>
      <c r="M59" s="87"/>
      <c r="N59" s="88">
        <f t="shared" si="4"/>
        <v>0</v>
      </c>
      <c r="O59" s="89">
        <f t="shared" si="5"/>
        <v>0</v>
      </c>
      <c r="P59" s="90">
        <f t="shared" si="6"/>
        <v>0</v>
      </c>
      <c r="Q59" s="91">
        <f t="shared" si="7"/>
        <v>0</v>
      </c>
      <c r="R59" s="236"/>
    </row>
    <row r="60" spans="1:18" ht="16.5" x14ac:dyDescent="0.3">
      <c r="A60" s="235"/>
      <c r="B60" s="385"/>
      <c r="C60" s="384"/>
      <c r="D60" s="75"/>
      <c r="E60" s="383"/>
      <c r="F60" s="384"/>
      <c r="G60" s="83"/>
      <c r="H60" s="76"/>
      <c r="I60" s="76"/>
      <c r="J60" s="84"/>
      <c r="K60" s="85"/>
      <c r="L60" s="86"/>
      <c r="M60" s="87"/>
      <c r="N60" s="88">
        <f t="shared" si="4"/>
        <v>0</v>
      </c>
      <c r="O60" s="89">
        <f t="shared" si="5"/>
        <v>0</v>
      </c>
      <c r="P60" s="90">
        <f t="shared" si="6"/>
        <v>0</v>
      </c>
      <c r="Q60" s="91">
        <f t="shared" si="7"/>
        <v>0</v>
      </c>
      <c r="R60" s="236"/>
    </row>
    <row r="61" spans="1:18" ht="16.5" x14ac:dyDescent="0.3">
      <c r="A61" s="235"/>
      <c r="B61" s="385"/>
      <c r="C61" s="384"/>
      <c r="D61" s="75"/>
      <c r="E61" s="383"/>
      <c r="F61" s="384"/>
      <c r="G61" s="83"/>
      <c r="H61" s="76"/>
      <c r="I61" s="76"/>
      <c r="J61" s="84"/>
      <c r="K61" s="85"/>
      <c r="L61" s="86"/>
      <c r="M61" s="87"/>
      <c r="N61" s="88">
        <f t="shared" si="4"/>
        <v>0</v>
      </c>
      <c r="O61" s="89">
        <f t="shared" si="5"/>
        <v>0</v>
      </c>
      <c r="P61" s="90">
        <f t="shared" si="6"/>
        <v>0</v>
      </c>
      <c r="Q61" s="91">
        <f t="shared" si="7"/>
        <v>0</v>
      </c>
      <c r="R61" s="236"/>
    </row>
    <row r="62" spans="1:18" ht="16.5" x14ac:dyDescent="0.3">
      <c r="A62" s="235"/>
      <c r="B62" s="385"/>
      <c r="C62" s="384"/>
      <c r="D62" s="75"/>
      <c r="E62" s="383"/>
      <c r="F62" s="384"/>
      <c r="G62" s="83"/>
      <c r="H62" s="76"/>
      <c r="I62" s="76"/>
      <c r="J62" s="84"/>
      <c r="K62" s="85"/>
      <c r="L62" s="86"/>
      <c r="M62" s="87"/>
      <c r="N62" s="88">
        <f t="shared" si="4"/>
        <v>0</v>
      </c>
      <c r="O62" s="89">
        <f t="shared" si="5"/>
        <v>0</v>
      </c>
      <c r="P62" s="90">
        <f t="shared" si="6"/>
        <v>0</v>
      </c>
      <c r="Q62" s="91">
        <f t="shared" si="7"/>
        <v>0</v>
      </c>
      <c r="R62" s="236"/>
    </row>
    <row r="63" spans="1:18" ht="16.5" x14ac:dyDescent="0.3">
      <c r="A63" s="235"/>
      <c r="B63" s="385"/>
      <c r="C63" s="384"/>
      <c r="D63" s="75"/>
      <c r="E63" s="383"/>
      <c r="F63" s="384"/>
      <c r="G63" s="83"/>
      <c r="H63" s="76"/>
      <c r="I63" s="76"/>
      <c r="J63" s="84"/>
      <c r="K63" s="85"/>
      <c r="L63" s="86"/>
      <c r="M63" s="87"/>
      <c r="N63" s="88">
        <f t="shared" si="4"/>
        <v>0</v>
      </c>
      <c r="O63" s="89">
        <f t="shared" si="5"/>
        <v>0</v>
      </c>
      <c r="P63" s="90">
        <f t="shared" si="6"/>
        <v>0</v>
      </c>
      <c r="Q63" s="91">
        <f t="shared" si="7"/>
        <v>0</v>
      </c>
      <c r="R63" s="236"/>
    </row>
    <row r="64" spans="1:18" ht="16.5" x14ac:dyDescent="0.3">
      <c r="A64" s="235"/>
      <c r="B64" s="385"/>
      <c r="C64" s="384"/>
      <c r="D64" s="75"/>
      <c r="E64" s="383"/>
      <c r="F64" s="384"/>
      <c r="G64" s="83"/>
      <c r="H64" s="76"/>
      <c r="I64" s="76"/>
      <c r="J64" s="84"/>
      <c r="K64" s="85"/>
      <c r="L64" s="86"/>
      <c r="M64" s="87"/>
      <c r="N64" s="88">
        <f t="shared" si="4"/>
        <v>0</v>
      </c>
      <c r="O64" s="89">
        <f t="shared" si="5"/>
        <v>0</v>
      </c>
      <c r="P64" s="90">
        <f t="shared" si="6"/>
        <v>0</v>
      </c>
      <c r="Q64" s="91">
        <f t="shared" si="7"/>
        <v>0</v>
      </c>
      <c r="R64" s="236"/>
    </row>
    <row r="65" spans="1:18" ht="16.5" x14ac:dyDescent="0.3">
      <c r="A65" s="235"/>
      <c r="B65" s="385"/>
      <c r="C65" s="384"/>
      <c r="D65" s="75"/>
      <c r="E65" s="383"/>
      <c r="F65" s="384"/>
      <c r="G65" s="83"/>
      <c r="H65" s="76"/>
      <c r="I65" s="76"/>
      <c r="J65" s="84"/>
      <c r="K65" s="85"/>
      <c r="L65" s="86"/>
      <c r="M65" s="87"/>
      <c r="N65" s="88">
        <f t="shared" si="4"/>
        <v>0</v>
      </c>
      <c r="O65" s="89">
        <f t="shared" si="5"/>
        <v>0</v>
      </c>
      <c r="P65" s="90">
        <f t="shared" si="6"/>
        <v>0</v>
      </c>
      <c r="Q65" s="91">
        <f t="shared" si="7"/>
        <v>0</v>
      </c>
      <c r="R65" s="236"/>
    </row>
    <row r="66" spans="1:18" ht="16.5" x14ac:dyDescent="0.3">
      <c r="A66" s="235"/>
      <c r="B66" s="385"/>
      <c r="C66" s="384"/>
      <c r="D66" s="75"/>
      <c r="E66" s="383"/>
      <c r="F66" s="384"/>
      <c r="G66" s="83"/>
      <c r="H66" s="76"/>
      <c r="I66" s="76"/>
      <c r="J66" s="84"/>
      <c r="K66" s="85"/>
      <c r="L66" s="86"/>
      <c r="M66" s="87"/>
      <c r="N66" s="88">
        <f t="shared" si="4"/>
        <v>0</v>
      </c>
      <c r="O66" s="89">
        <f t="shared" si="5"/>
        <v>0</v>
      </c>
      <c r="P66" s="90">
        <f t="shared" si="6"/>
        <v>0</v>
      </c>
      <c r="Q66" s="91">
        <f t="shared" si="7"/>
        <v>0</v>
      </c>
      <c r="R66" s="236"/>
    </row>
    <row r="67" spans="1:18" ht="16.5" x14ac:dyDescent="0.3">
      <c r="A67" s="235"/>
      <c r="B67" s="385"/>
      <c r="C67" s="384"/>
      <c r="D67" s="75"/>
      <c r="E67" s="383"/>
      <c r="F67" s="384"/>
      <c r="G67" s="83"/>
      <c r="H67" s="76"/>
      <c r="I67" s="76"/>
      <c r="J67" s="84"/>
      <c r="K67" s="85"/>
      <c r="L67" s="86"/>
      <c r="M67" s="87"/>
      <c r="N67" s="88">
        <f t="shared" si="4"/>
        <v>0</v>
      </c>
      <c r="O67" s="89">
        <f t="shared" si="5"/>
        <v>0</v>
      </c>
      <c r="P67" s="90">
        <f t="shared" si="6"/>
        <v>0</v>
      </c>
      <c r="Q67" s="91">
        <f t="shared" si="7"/>
        <v>0</v>
      </c>
      <c r="R67" s="236"/>
    </row>
    <row r="68" spans="1:18" ht="16.5" x14ac:dyDescent="0.3">
      <c r="A68" s="235"/>
      <c r="B68" s="385"/>
      <c r="C68" s="384"/>
      <c r="D68" s="75"/>
      <c r="E68" s="383"/>
      <c r="F68" s="384"/>
      <c r="G68" s="83"/>
      <c r="H68" s="76"/>
      <c r="I68" s="76"/>
      <c r="J68" s="84"/>
      <c r="K68" s="85"/>
      <c r="L68" s="86"/>
      <c r="M68" s="87"/>
      <c r="N68" s="88">
        <f t="shared" si="4"/>
        <v>0</v>
      </c>
      <c r="O68" s="89">
        <f t="shared" si="5"/>
        <v>0</v>
      </c>
      <c r="P68" s="90">
        <f t="shared" si="6"/>
        <v>0</v>
      </c>
      <c r="Q68" s="91">
        <f t="shared" si="7"/>
        <v>0</v>
      </c>
      <c r="R68" s="236"/>
    </row>
    <row r="69" spans="1:18" ht="16.5" x14ac:dyDescent="0.3">
      <c r="A69" s="235"/>
      <c r="B69" s="385"/>
      <c r="C69" s="384"/>
      <c r="D69" s="75"/>
      <c r="E69" s="383"/>
      <c r="F69" s="384"/>
      <c r="G69" s="83"/>
      <c r="H69" s="76"/>
      <c r="I69" s="76"/>
      <c r="J69" s="84"/>
      <c r="K69" s="85"/>
      <c r="L69" s="86"/>
      <c r="M69" s="87"/>
      <c r="N69" s="88">
        <f t="shared" si="4"/>
        <v>0</v>
      </c>
      <c r="O69" s="89">
        <f t="shared" si="5"/>
        <v>0</v>
      </c>
      <c r="P69" s="90">
        <f t="shared" si="6"/>
        <v>0</v>
      </c>
      <c r="Q69" s="91">
        <f t="shared" si="7"/>
        <v>0</v>
      </c>
      <c r="R69" s="236"/>
    </row>
    <row r="70" spans="1:18" ht="16.5" x14ac:dyDescent="0.3">
      <c r="A70" s="235"/>
      <c r="B70" s="385"/>
      <c r="C70" s="384"/>
      <c r="D70" s="75"/>
      <c r="E70" s="383"/>
      <c r="F70" s="384"/>
      <c r="G70" s="83"/>
      <c r="H70" s="76"/>
      <c r="I70" s="76"/>
      <c r="J70" s="84"/>
      <c r="K70" s="85"/>
      <c r="L70" s="86"/>
      <c r="M70" s="87"/>
      <c r="N70" s="88">
        <f t="shared" si="4"/>
        <v>0</v>
      </c>
      <c r="O70" s="89">
        <f t="shared" si="5"/>
        <v>0</v>
      </c>
      <c r="P70" s="90">
        <f t="shared" si="6"/>
        <v>0</v>
      </c>
      <c r="Q70" s="91">
        <f t="shared" si="7"/>
        <v>0</v>
      </c>
      <c r="R70" s="236"/>
    </row>
    <row r="71" spans="1:18" ht="16.5" x14ac:dyDescent="0.3">
      <c r="A71" s="235"/>
      <c r="B71" s="385"/>
      <c r="C71" s="384"/>
      <c r="D71" s="75"/>
      <c r="E71" s="383"/>
      <c r="F71" s="384"/>
      <c r="G71" s="83"/>
      <c r="H71" s="76"/>
      <c r="I71" s="76"/>
      <c r="J71" s="84"/>
      <c r="K71" s="85"/>
      <c r="L71" s="86"/>
      <c r="M71" s="87"/>
      <c r="N71" s="88">
        <f t="shared" si="4"/>
        <v>0</v>
      </c>
      <c r="O71" s="89">
        <f t="shared" si="5"/>
        <v>0</v>
      </c>
      <c r="P71" s="90">
        <f t="shared" si="6"/>
        <v>0</v>
      </c>
      <c r="Q71" s="91">
        <f t="shared" si="7"/>
        <v>0</v>
      </c>
      <c r="R71" s="236"/>
    </row>
    <row r="72" spans="1:18" ht="16.5" x14ac:dyDescent="0.3">
      <c r="A72" s="235"/>
      <c r="B72" s="385"/>
      <c r="C72" s="384"/>
      <c r="D72" s="75"/>
      <c r="E72" s="383"/>
      <c r="F72" s="384"/>
      <c r="G72" s="83"/>
      <c r="H72" s="76"/>
      <c r="I72" s="76"/>
      <c r="J72" s="84"/>
      <c r="K72" s="85"/>
      <c r="L72" s="86"/>
      <c r="M72" s="87"/>
      <c r="N72" s="88">
        <f t="shared" si="4"/>
        <v>0</v>
      </c>
      <c r="O72" s="89">
        <f t="shared" si="5"/>
        <v>0</v>
      </c>
      <c r="P72" s="90">
        <f t="shared" si="6"/>
        <v>0</v>
      </c>
      <c r="Q72" s="91">
        <f t="shared" si="7"/>
        <v>0</v>
      </c>
      <c r="R72" s="236"/>
    </row>
    <row r="73" spans="1:18" ht="16.5" x14ac:dyDescent="0.3">
      <c r="A73" s="235"/>
      <c r="B73" s="385"/>
      <c r="C73" s="384"/>
      <c r="D73" s="75"/>
      <c r="E73" s="383"/>
      <c r="F73" s="384"/>
      <c r="G73" s="83"/>
      <c r="H73" s="76"/>
      <c r="I73" s="76"/>
      <c r="J73" s="84"/>
      <c r="K73" s="85"/>
      <c r="L73" s="86"/>
      <c r="M73" s="87"/>
      <c r="N73" s="88">
        <f t="shared" si="4"/>
        <v>0</v>
      </c>
      <c r="O73" s="89">
        <f t="shared" si="5"/>
        <v>0</v>
      </c>
      <c r="P73" s="90">
        <f t="shared" si="6"/>
        <v>0</v>
      </c>
      <c r="Q73" s="91">
        <f t="shared" si="7"/>
        <v>0</v>
      </c>
      <c r="R73" s="236"/>
    </row>
    <row r="74" spans="1:18" ht="16.5" x14ac:dyDescent="0.3">
      <c r="A74" s="235"/>
      <c r="B74" s="385"/>
      <c r="C74" s="384"/>
      <c r="D74" s="75"/>
      <c r="E74" s="383"/>
      <c r="F74" s="384"/>
      <c r="G74" s="83"/>
      <c r="H74" s="76"/>
      <c r="I74" s="76"/>
      <c r="J74" s="84"/>
      <c r="K74" s="85"/>
      <c r="L74" s="86"/>
      <c r="M74" s="87"/>
      <c r="N74" s="88">
        <f t="shared" si="4"/>
        <v>0</v>
      </c>
      <c r="O74" s="89">
        <f t="shared" si="5"/>
        <v>0</v>
      </c>
      <c r="P74" s="90">
        <f t="shared" si="6"/>
        <v>0</v>
      </c>
      <c r="Q74" s="91">
        <f t="shared" si="7"/>
        <v>0</v>
      </c>
      <c r="R74" s="236"/>
    </row>
    <row r="75" spans="1:18" ht="16.5" x14ac:dyDescent="0.3">
      <c r="A75" s="235"/>
      <c r="B75" s="385"/>
      <c r="C75" s="384"/>
      <c r="D75" s="75"/>
      <c r="E75" s="383"/>
      <c r="F75" s="384"/>
      <c r="G75" s="83"/>
      <c r="H75" s="76"/>
      <c r="I75" s="76"/>
      <c r="J75" s="84"/>
      <c r="K75" s="85"/>
      <c r="L75" s="86"/>
      <c r="M75" s="87"/>
      <c r="N75" s="88">
        <f t="shared" si="4"/>
        <v>0</v>
      </c>
      <c r="O75" s="89">
        <f t="shared" si="5"/>
        <v>0</v>
      </c>
      <c r="P75" s="90">
        <f t="shared" si="6"/>
        <v>0</v>
      </c>
      <c r="Q75" s="91">
        <f t="shared" si="7"/>
        <v>0</v>
      </c>
      <c r="R75" s="236"/>
    </row>
    <row r="76" spans="1:18" ht="16.5" x14ac:dyDescent="0.3">
      <c r="A76" s="235"/>
      <c r="B76" s="385"/>
      <c r="C76" s="384"/>
      <c r="D76" s="75"/>
      <c r="E76" s="383"/>
      <c r="F76" s="384"/>
      <c r="G76" s="83"/>
      <c r="H76" s="76"/>
      <c r="I76" s="76"/>
      <c r="J76" s="84"/>
      <c r="K76" s="85"/>
      <c r="L76" s="86"/>
      <c r="M76" s="87"/>
      <c r="N76" s="88">
        <f t="shared" si="4"/>
        <v>0</v>
      </c>
      <c r="O76" s="89">
        <f t="shared" si="5"/>
        <v>0</v>
      </c>
      <c r="P76" s="90">
        <f t="shared" si="6"/>
        <v>0</v>
      </c>
      <c r="Q76" s="91">
        <f t="shared" si="7"/>
        <v>0</v>
      </c>
      <c r="R76" s="236"/>
    </row>
    <row r="77" spans="1:18" ht="16.5" x14ac:dyDescent="0.3">
      <c r="A77" s="235"/>
      <c r="B77" s="385"/>
      <c r="C77" s="384"/>
      <c r="D77" s="75"/>
      <c r="E77" s="383"/>
      <c r="F77" s="384"/>
      <c r="G77" s="83"/>
      <c r="H77" s="76"/>
      <c r="I77" s="76"/>
      <c r="J77" s="84"/>
      <c r="K77" s="85"/>
      <c r="L77" s="86"/>
      <c r="M77" s="87"/>
      <c r="N77" s="88">
        <f t="shared" si="4"/>
        <v>0</v>
      </c>
      <c r="O77" s="89">
        <f t="shared" si="5"/>
        <v>0</v>
      </c>
      <c r="P77" s="90">
        <f t="shared" si="6"/>
        <v>0</v>
      </c>
      <c r="Q77" s="91">
        <f t="shared" si="7"/>
        <v>0</v>
      </c>
      <c r="R77" s="236"/>
    </row>
    <row r="78" spans="1:18" ht="16.5" x14ac:dyDescent="0.3">
      <c r="A78" s="235"/>
      <c r="B78" s="385"/>
      <c r="C78" s="384"/>
      <c r="D78" s="75"/>
      <c r="E78" s="383"/>
      <c r="F78" s="384"/>
      <c r="G78" s="83"/>
      <c r="H78" s="76"/>
      <c r="I78" s="76"/>
      <c r="J78" s="84"/>
      <c r="K78" s="85"/>
      <c r="L78" s="86"/>
      <c r="M78" s="87"/>
      <c r="N78" s="88">
        <f t="shared" si="4"/>
        <v>0</v>
      </c>
      <c r="O78" s="89">
        <f t="shared" si="5"/>
        <v>0</v>
      </c>
      <c r="P78" s="90">
        <f t="shared" si="6"/>
        <v>0</v>
      </c>
      <c r="Q78" s="91">
        <f t="shared" si="7"/>
        <v>0</v>
      </c>
      <c r="R78" s="236"/>
    </row>
    <row r="79" spans="1:18" ht="16.5" x14ac:dyDescent="0.3">
      <c r="A79" s="235"/>
      <c r="B79" s="385"/>
      <c r="C79" s="384"/>
      <c r="D79" s="75"/>
      <c r="E79" s="383"/>
      <c r="F79" s="384"/>
      <c r="G79" s="83"/>
      <c r="H79" s="76"/>
      <c r="I79" s="76"/>
      <c r="J79" s="84"/>
      <c r="K79" s="85"/>
      <c r="L79" s="86"/>
      <c r="M79" s="87"/>
      <c r="N79" s="88">
        <f t="shared" si="4"/>
        <v>0</v>
      </c>
      <c r="O79" s="89">
        <f t="shared" si="5"/>
        <v>0</v>
      </c>
      <c r="P79" s="90">
        <f t="shared" si="6"/>
        <v>0</v>
      </c>
      <c r="Q79" s="91">
        <f t="shared" si="7"/>
        <v>0</v>
      </c>
      <c r="R79" s="236"/>
    </row>
    <row r="80" spans="1:18" ht="16.5" x14ac:dyDescent="0.3">
      <c r="A80" s="235"/>
      <c r="B80" s="385"/>
      <c r="C80" s="384"/>
      <c r="D80" s="75"/>
      <c r="E80" s="383"/>
      <c r="F80" s="384"/>
      <c r="G80" s="83"/>
      <c r="H80" s="76"/>
      <c r="I80" s="76"/>
      <c r="J80" s="84"/>
      <c r="K80" s="85"/>
      <c r="L80" s="86"/>
      <c r="M80" s="87"/>
      <c r="N80" s="88">
        <f t="shared" si="4"/>
        <v>0</v>
      </c>
      <c r="O80" s="89">
        <f t="shared" si="5"/>
        <v>0</v>
      </c>
      <c r="P80" s="90">
        <f t="shared" si="6"/>
        <v>0</v>
      </c>
      <c r="Q80" s="91">
        <f t="shared" si="7"/>
        <v>0</v>
      </c>
      <c r="R80" s="236"/>
    </row>
    <row r="81" spans="1:18" ht="16.5" x14ac:dyDescent="0.3">
      <c r="A81" s="235"/>
      <c r="B81" s="385"/>
      <c r="C81" s="384"/>
      <c r="D81" s="75"/>
      <c r="E81" s="383"/>
      <c r="F81" s="384"/>
      <c r="G81" s="83"/>
      <c r="H81" s="76"/>
      <c r="I81" s="76"/>
      <c r="J81" s="84"/>
      <c r="K81" s="85"/>
      <c r="L81" s="86"/>
      <c r="M81" s="87"/>
      <c r="N81" s="88">
        <f t="shared" si="4"/>
        <v>0</v>
      </c>
      <c r="O81" s="89">
        <f t="shared" si="5"/>
        <v>0</v>
      </c>
      <c r="P81" s="90">
        <f t="shared" si="6"/>
        <v>0</v>
      </c>
      <c r="Q81" s="91">
        <f t="shared" si="7"/>
        <v>0</v>
      </c>
      <c r="R81" s="236"/>
    </row>
    <row r="82" spans="1:18" ht="16.5" x14ac:dyDescent="0.3">
      <c r="A82" s="235"/>
      <c r="B82" s="385"/>
      <c r="C82" s="384"/>
      <c r="D82" s="75"/>
      <c r="E82" s="383"/>
      <c r="F82" s="384"/>
      <c r="G82" s="83"/>
      <c r="H82" s="76"/>
      <c r="I82" s="76"/>
      <c r="J82" s="84"/>
      <c r="K82" s="85"/>
      <c r="L82" s="86"/>
      <c r="M82" s="87"/>
      <c r="N82" s="88">
        <f t="shared" si="4"/>
        <v>0</v>
      </c>
      <c r="O82" s="89">
        <f t="shared" si="5"/>
        <v>0</v>
      </c>
      <c r="P82" s="90">
        <f t="shared" si="6"/>
        <v>0</v>
      </c>
      <c r="Q82" s="91">
        <f t="shared" si="7"/>
        <v>0</v>
      </c>
      <c r="R82" s="236"/>
    </row>
    <row r="83" spans="1:18" ht="16.5" x14ac:dyDescent="0.3">
      <c r="A83" s="235"/>
      <c r="B83" s="385"/>
      <c r="C83" s="384"/>
      <c r="D83" s="75"/>
      <c r="E83" s="383"/>
      <c r="F83" s="384"/>
      <c r="G83" s="83"/>
      <c r="H83" s="76"/>
      <c r="I83" s="76"/>
      <c r="J83" s="84"/>
      <c r="K83" s="85"/>
      <c r="L83" s="86"/>
      <c r="M83" s="87"/>
      <c r="N83" s="88">
        <f t="shared" si="4"/>
        <v>0</v>
      </c>
      <c r="O83" s="89">
        <f t="shared" si="5"/>
        <v>0</v>
      </c>
      <c r="P83" s="90">
        <f t="shared" si="6"/>
        <v>0</v>
      </c>
      <c r="Q83" s="91">
        <f t="shared" si="7"/>
        <v>0</v>
      </c>
      <c r="R83" s="236"/>
    </row>
    <row r="84" spans="1:18" ht="16.5" x14ac:dyDescent="0.3">
      <c r="A84" s="235"/>
      <c r="B84" s="385"/>
      <c r="C84" s="384"/>
      <c r="D84" s="75"/>
      <c r="E84" s="383"/>
      <c r="F84" s="384"/>
      <c r="G84" s="83"/>
      <c r="H84" s="76"/>
      <c r="I84" s="76"/>
      <c r="J84" s="84"/>
      <c r="K84" s="85"/>
      <c r="L84" s="86"/>
      <c r="M84" s="87"/>
      <c r="N84" s="88">
        <f t="shared" si="4"/>
        <v>0</v>
      </c>
      <c r="O84" s="89">
        <f t="shared" si="5"/>
        <v>0</v>
      </c>
      <c r="P84" s="90">
        <f t="shared" si="6"/>
        <v>0</v>
      </c>
      <c r="Q84" s="91">
        <f t="shared" si="7"/>
        <v>0</v>
      </c>
      <c r="R84" s="236"/>
    </row>
    <row r="85" spans="1:18" ht="16.5" x14ac:dyDescent="0.3">
      <c r="A85" s="235"/>
      <c r="B85" s="385"/>
      <c r="C85" s="384"/>
      <c r="D85" s="75"/>
      <c r="E85" s="383"/>
      <c r="F85" s="384"/>
      <c r="G85" s="83"/>
      <c r="H85" s="76"/>
      <c r="I85" s="76"/>
      <c r="J85" s="84"/>
      <c r="K85" s="85"/>
      <c r="L85" s="86"/>
      <c r="M85" s="87"/>
      <c r="N85" s="88">
        <f t="shared" si="4"/>
        <v>0</v>
      </c>
      <c r="O85" s="89">
        <f t="shared" si="5"/>
        <v>0</v>
      </c>
      <c r="P85" s="90">
        <f t="shared" si="6"/>
        <v>0</v>
      </c>
      <c r="Q85" s="91">
        <f t="shared" si="7"/>
        <v>0</v>
      </c>
      <c r="R85" s="236"/>
    </row>
    <row r="86" spans="1:18" ht="16.5" x14ac:dyDescent="0.3">
      <c r="A86" s="235"/>
      <c r="B86" s="385"/>
      <c r="C86" s="384"/>
      <c r="D86" s="75"/>
      <c r="E86" s="383"/>
      <c r="F86" s="384"/>
      <c r="G86" s="83"/>
      <c r="H86" s="76"/>
      <c r="I86" s="76"/>
      <c r="J86" s="84"/>
      <c r="K86" s="85"/>
      <c r="L86" s="86"/>
      <c r="M86" s="87"/>
      <c r="N86" s="88">
        <f t="shared" si="4"/>
        <v>0</v>
      </c>
      <c r="O86" s="89">
        <f t="shared" si="5"/>
        <v>0</v>
      </c>
      <c r="P86" s="90">
        <f t="shared" si="6"/>
        <v>0</v>
      </c>
      <c r="Q86" s="91">
        <f t="shared" si="7"/>
        <v>0</v>
      </c>
      <c r="R86" s="236"/>
    </row>
    <row r="87" spans="1:18" ht="16.5" x14ac:dyDescent="0.3">
      <c r="A87" s="235"/>
      <c r="B87" s="1270"/>
      <c r="C87" s="1265"/>
      <c r="D87" s="75"/>
      <c r="E87" s="1264"/>
      <c r="F87" s="1265"/>
      <c r="G87" s="83"/>
      <c r="H87" s="76"/>
      <c r="I87" s="76"/>
      <c r="J87" s="84"/>
      <c r="K87" s="85"/>
      <c r="L87" s="86"/>
      <c r="M87" s="87"/>
      <c r="N87" s="88">
        <f t="shared" si="0"/>
        <v>0</v>
      </c>
      <c r="O87" s="89">
        <f t="shared" si="1"/>
        <v>0</v>
      </c>
      <c r="P87" s="90">
        <f t="shared" si="2"/>
        <v>0</v>
      </c>
      <c r="Q87" s="91">
        <f t="shared" si="3"/>
        <v>0</v>
      </c>
      <c r="R87" s="236"/>
    </row>
    <row r="88" spans="1:18" ht="16.5" x14ac:dyDescent="0.3">
      <c r="A88" s="235"/>
      <c r="B88" s="1270"/>
      <c r="C88" s="1265"/>
      <c r="D88" s="75"/>
      <c r="E88" s="1264"/>
      <c r="F88" s="1265"/>
      <c r="G88" s="83"/>
      <c r="H88" s="76"/>
      <c r="I88" s="76"/>
      <c r="J88" s="84"/>
      <c r="K88" s="85"/>
      <c r="L88" s="86"/>
      <c r="M88" s="87"/>
      <c r="N88" s="88">
        <f t="shared" si="0"/>
        <v>0</v>
      </c>
      <c r="O88" s="89">
        <f t="shared" si="1"/>
        <v>0</v>
      </c>
      <c r="P88" s="90">
        <f t="shared" si="2"/>
        <v>0</v>
      </c>
      <c r="Q88" s="91">
        <f t="shared" si="3"/>
        <v>0</v>
      </c>
      <c r="R88" s="236"/>
    </row>
    <row r="89" spans="1:18" ht="16.5" x14ac:dyDescent="0.3">
      <c r="A89" s="235"/>
      <c r="B89" s="1270"/>
      <c r="C89" s="1265"/>
      <c r="D89" s="75"/>
      <c r="E89" s="1264"/>
      <c r="F89" s="1265"/>
      <c r="G89" s="83"/>
      <c r="H89" s="76"/>
      <c r="I89" s="76"/>
      <c r="J89" s="84"/>
      <c r="K89" s="85"/>
      <c r="L89" s="86"/>
      <c r="M89" s="87"/>
      <c r="N89" s="88">
        <f t="shared" si="0"/>
        <v>0</v>
      </c>
      <c r="O89" s="89">
        <f t="shared" si="1"/>
        <v>0</v>
      </c>
      <c r="P89" s="90">
        <f t="shared" si="2"/>
        <v>0</v>
      </c>
      <c r="Q89" s="91">
        <f t="shared" si="3"/>
        <v>0</v>
      </c>
      <c r="R89" s="236"/>
    </row>
    <row r="90" spans="1:18" ht="16.5" x14ac:dyDescent="0.3">
      <c r="A90" s="235"/>
      <c r="B90" s="1270"/>
      <c r="C90" s="1265"/>
      <c r="D90" s="75"/>
      <c r="E90" s="1264"/>
      <c r="F90" s="1265"/>
      <c r="G90" s="83"/>
      <c r="H90" s="76"/>
      <c r="I90" s="76"/>
      <c r="J90" s="84"/>
      <c r="K90" s="85"/>
      <c r="L90" s="86"/>
      <c r="M90" s="87"/>
      <c r="N90" s="88">
        <f t="shared" si="0"/>
        <v>0</v>
      </c>
      <c r="O90" s="89">
        <f t="shared" si="1"/>
        <v>0</v>
      </c>
      <c r="P90" s="90">
        <f t="shared" si="2"/>
        <v>0</v>
      </c>
      <c r="Q90" s="91">
        <f t="shared" si="3"/>
        <v>0</v>
      </c>
      <c r="R90" s="236"/>
    </row>
    <row r="91" spans="1:18" ht="16.5" x14ac:dyDescent="0.3">
      <c r="A91" s="235"/>
      <c r="B91" s="1270"/>
      <c r="C91" s="1265"/>
      <c r="D91" s="75"/>
      <c r="E91" s="1264"/>
      <c r="F91" s="1265"/>
      <c r="G91" s="83"/>
      <c r="H91" s="76"/>
      <c r="I91" s="76"/>
      <c r="J91" s="84"/>
      <c r="K91" s="85"/>
      <c r="L91" s="86"/>
      <c r="M91" s="87"/>
      <c r="N91" s="88">
        <f t="shared" si="0"/>
        <v>0</v>
      </c>
      <c r="O91" s="89">
        <f t="shared" si="1"/>
        <v>0</v>
      </c>
      <c r="P91" s="90">
        <f t="shared" si="2"/>
        <v>0</v>
      </c>
      <c r="Q91" s="91">
        <f t="shared" si="3"/>
        <v>0</v>
      </c>
      <c r="R91" s="236"/>
    </row>
    <row r="92" spans="1:18" ht="16.5" x14ac:dyDescent="0.3">
      <c r="A92" s="235"/>
      <c r="B92" s="1270"/>
      <c r="C92" s="1265"/>
      <c r="D92" s="75"/>
      <c r="E92" s="1264"/>
      <c r="F92" s="1265"/>
      <c r="G92" s="83"/>
      <c r="H92" s="76"/>
      <c r="I92" s="76"/>
      <c r="J92" s="84"/>
      <c r="K92" s="85"/>
      <c r="L92" s="86"/>
      <c r="M92" s="87"/>
      <c r="N92" s="88">
        <f t="shared" si="0"/>
        <v>0</v>
      </c>
      <c r="O92" s="89">
        <f t="shared" si="1"/>
        <v>0</v>
      </c>
      <c r="P92" s="90">
        <f t="shared" si="2"/>
        <v>0</v>
      </c>
      <c r="Q92" s="91">
        <f t="shared" si="3"/>
        <v>0</v>
      </c>
      <c r="R92" s="236"/>
    </row>
    <row r="93" spans="1:18" ht="16.5" x14ac:dyDescent="0.3">
      <c r="A93" s="235"/>
      <c r="B93" s="1270"/>
      <c r="C93" s="1265"/>
      <c r="D93" s="75"/>
      <c r="E93" s="1264"/>
      <c r="F93" s="1265"/>
      <c r="G93" s="83"/>
      <c r="H93" s="76"/>
      <c r="I93" s="76"/>
      <c r="J93" s="84"/>
      <c r="K93" s="85"/>
      <c r="L93" s="86"/>
      <c r="M93" s="87"/>
      <c r="N93" s="88">
        <f t="shared" si="0"/>
        <v>0</v>
      </c>
      <c r="O93" s="89">
        <f t="shared" si="1"/>
        <v>0</v>
      </c>
      <c r="P93" s="90">
        <f t="shared" si="2"/>
        <v>0</v>
      </c>
      <c r="Q93" s="91">
        <f t="shared" si="3"/>
        <v>0</v>
      </c>
      <c r="R93" s="236"/>
    </row>
    <row r="94" spans="1:18" ht="16.5" x14ac:dyDescent="0.3">
      <c r="A94" s="235"/>
      <c r="B94" s="1270"/>
      <c r="C94" s="1265"/>
      <c r="D94" s="75"/>
      <c r="E94" s="1264"/>
      <c r="F94" s="1265"/>
      <c r="G94" s="83"/>
      <c r="H94" s="76"/>
      <c r="I94" s="76"/>
      <c r="J94" s="84"/>
      <c r="K94" s="85"/>
      <c r="L94" s="86"/>
      <c r="M94" s="87"/>
      <c r="N94" s="88">
        <f t="shared" si="0"/>
        <v>0</v>
      </c>
      <c r="O94" s="89">
        <f t="shared" si="1"/>
        <v>0</v>
      </c>
      <c r="P94" s="90">
        <f t="shared" si="2"/>
        <v>0</v>
      </c>
      <c r="Q94" s="91">
        <f t="shared" si="3"/>
        <v>0</v>
      </c>
      <c r="R94" s="236"/>
    </row>
    <row r="95" spans="1:18" ht="16.5" x14ac:dyDescent="0.3">
      <c r="A95" s="235"/>
      <c r="B95" s="1270"/>
      <c r="C95" s="1265"/>
      <c r="D95" s="75"/>
      <c r="E95" s="1264"/>
      <c r="F95" s="1265"/>
      <c r="G95" s="83"/>
      <c r="H95" s="76"/>
      <c r="I95" s="76"/>
      <c r="J95" s="84"/>
      <c r="K95" s="85"/>
      <c r="L95" s="86"/>
      <c r="M95" s="87"/>
      <c r="N95" s="88">
        <f t="shared" si="0"/>
        <v>0</v>
      </c>
      <c r="O95" s="89">
        <f t="shared" si="1"/>
        <v>0</v>
      </c>
      <c r="P95" s="90">
        <f t="shared" si="2"/>
        <v>0</v>
      </c>
      <c r="Q95" s="91">
        <f t="shared" si="3"/>
        <v>0</v>
      </c>
      <c r="R95" s="236"/>
    </row>
    <row r="96" spans="1:18" ht="16.5" x14ac:dyDescent="0.3">
      <c r="A96" s="235"/>
      <c r="B96" s="1275"/>
      <c r="C96" s="1276"/>
      <c r="D96" s="92"/>
      <c r="E96" s="1276"/>
      <c r="F96" s="1276"/>
      <c r="G96" s="92"/>
      <c r="H96" s="93"/>
      <c r="I96" s="93"/>
      <c r="J96" s="84"/>
      <c r="K96" s="85"/>
      <c r="L96" s="86"/>
      <c r="M96" s="87"/>
      <c r="N96" s="88">
        <f t="shared" si="0"/>
        <v>0</v>
      </c>
      <c r="O96" s="94">
        <f t="shared" si="1"/>
        <v>0</v>
      </c>
      <c r="P96" s="95">
        <f t="shared" si="2"/>
        <v>0</v>
      </c>
      <c r="Q96" s="91">
        <f t="shared" si="3"/>
        <v>0</v>
      </c>
      <c r="R96" s="236"/>
    </row>
    <row r="97" spans="1:18" ht="16.5" x14ac:dyDescent="0.3">
      <c r="A97" s="235"/>
      <c r="B97" s="1275"/>
      <c r="C97" s="1276"/>
      <c r="D97" s="92"/>
      <c r="E97" s="1276"/>
      <c r="F97" s="1276"/>
      <c r="G97" s="92"/>
      <c r="H97" s="93"/>
      <c r="I97" s="93"/>
      <c r="J97" s="84"/>
      <c r="K97" s="85"/>
      <c r="L97" s="86"/>
      <c r="M97" s="87"/>
      <c r="N97" s="88">
        <f t="shared" si="0"/>
        <v>0</v>
      </c>
      <c r="O97" s="94">
        <f t="shared" si="1"/>
        <v>0</v>
      </c>
      <c r="P97" s="95">
        <f t="shared" si="2"/>
        <v>0</v>
      </c>
      <c r="Q97" s="91">
        <f t="shared" si="3"/>
        <v>0</v>
      </c>
      <c r="R97" s="236"/>
    </row>
    <row r="98" spans="1:18" ht="16.5" x14ac:dyDescent="0.3">
      <c r="A98" s="235"/>
      <c r="B98" s="1275"/>
      <c r="C98" s="1276"/>
      <c r="D98" s="92"/>
      <c r="E98" s="1276"/>
      <c r="F98" s="1276"/>
      <c r="G98" s="92"/>
      <c r="H98" s="93"/>
      <c r="I98" s="93"/>
      <c r="J98" s="84"/>
      <c r="K98" s="85"/>
      <c r="L98" s="86"/>
      <c r="M98" s="87"/>
      <c r="N98" s="88">
        <f t="shared" si="0"/>
        <v>0</v>
      </c>
      <c r="O98" s="94">
        <f t="shared" si="1"/>
        <v>0</v>
      </c>
      <c r="P98" s="95">
        <f t="shared" si="2"/>
        <v>0</v>
      </c>
      <c r="Q98" s="91">
        <f t="shared" si="3"/>
        <v>0</v>
      </c>
      <c r="R98" s="236"/>
    </row>
    <row r="99" spans="1:18" ht="16.5" x14ac:dyDescent="0.3">
      <c r="A99" s="235"/>
      <c r="B99" s="1275"/>
      <c r="C99" s="1276"/>
      <c r="D99" s="92"/>
      <c r="E99" s="1276"/>
      <c r="F99" s="1276"/>
      <c r="G99" s="92"/>
      <c r="H99" s="93"/>
      <c r="I99" s="93"/>
      <c r="J99" s="84"/>
      <c r="K99" s="85"/>
      <c r="L99" s="86"/>
      <c r="M99" s="87"/>
      <c r="N99" s="88">
        <f t="shared" si="0"/>
        <v>0</v>
      </c>
      <c r="O99" s="94">
        <f t="shared" si="1"/>
        <v>0</v>
      </c>
      <c r="P99" s="95">
        <f t="shared" si="2"/>
        <v>0</v>
      </c>
      <c r="Q99" s="91">
        <f t="shared" si="3"/>
        <v>0</v>
      </c>
      <c r="R99" s="236"/>
    </row>
    <row r="100" spans="1:18" ht="16.5" x14ac:dyDescent="0.3">
      <c r="A100" s="235"/>
      <c r="B100" s="1275"/>
      <c r="C100" s="1276"/>
      <c r="D100" s="92"/>
      <c r="E100" s="1276"/>
      <c r="F100" s="1276"/>
      <c r="G100" s="92"/>
      <c r="H100" s="93"/>
      <c r="I100" s="93"/>
      <c r="J100" s="84"/>
      <c r="K100" s="85"/>
      <c r="L100" s="86"/>
      <c r="M100" s="87"/>
      <c r="N100" s="88">
        <f>SUM(L100:M100)</f>
        <v>0</v>
      </c>
      <c r="O100" s="94">
        <f t="shared" ref="O100:P103" si="8">J100*L100</f>
        <v>0</v>
      </c>
      <c r="P100" s="95">
        <f t="shared" si="8"/>
        <v>0</v>
      </c>
      <c r="Q100" s="91">
        <f>SUM(O100:P100)</f>
        <v>0</v>
      </c>
      <c r="R100" s="236"/>
    </row>
    <row r="101" spans="1:18" ht="16.5" x14ac:dyDescent="0.3">
      <c r="A101" s="235"/>
      <c r="B101" s="1275"/>
      <c r="C101" s="1276"/>
      <c r="D101" s="92"/>
      <c r="E101" s="1276"/>
      <c r="F101" s="1276"/>
      <c r="G101" s="92"/>
      <c r="H101" s="93"/>
      <c r="I101" s="93"/>
      <c r="J101" s="84"/>
      <c r="K101" s="85"/>
      <c r="L101" s="86"/>
      <c r="M101" s="87"/>
      <c r="N101" s="88">
        <f>SUM(L101:M101)</f>
        <v>0</v>
      </c>
      <c r="O101" s="94">
        <f t="shared" si="8"/>
        <v>0</v>
      </c>
      <c r="P101" s="95">
        <f t="shared" si="8"/>
        <v>0</v>
      </c>
      <c r="Q101" s="91">
        <f>SUM(O101:P101)</f>
        <v>0</v>
      </c>
      <c r="R101" s="236"/>
    </row>
    <row r="102" spans="1:18" ht="16.5" x14ac:dyDescent="0.3">
      <c r="A102" s="235"/>
      <c r="B102" s="1275"/>
      <c r="C102" s="1276"/>
      <c r="D102" s="92"/>
      <c r="E102" s="1276"/>
      <c r="F102" s="1276"/>
      <c r="G102" s="92"/>
      <c r="H102" s="93"/>
      <c r="I102" s="93"/>
      <c r="J102" s="84"/>
      <c r="K102" s="85"/>
      <c r="L102" s="86"/>
      <c r="M102" s="87"/>
      <c r="N102" s="88">
        <f>SUM(L102:M102)</f>
        <v>0</v>
      </c>
      <c r="O102" s="94">
        <f t="shared" si="8"/>
        <v>0</v>
      </c>
      <c r="P102" s="95">
        <f t="shared" si="8"/>
        <v>0</v>
      </c>
      <c r="Q102" s="91">
        <f>SUM(O102:P102)</f>
        <v>0</v>
      </c>
      <c r="R102" s="236"/>
    </row>
    <row r="103" spans="1:18" ht="17.25" thickBot="1" x14ac:dyDescent="0.35">
      <c r="A103" s="235"/>
      <c r="B103" s="1271"/>
      <c r="C103" s="1272"/>
      <c r="D103" s="96"/>
      <c r="E103" s="1272"/>
      <c r="F103" s="1272"/>
      <c r="G103" s="97"/>
      <c r="H103" s="93"/>
      <c r="I103" s="93"/>
      <c r="J103" s="98"/>
      <c r="K103" s="99"/>
      <c r="L103" s="100"/>
      <c r="M103" s="101"/>
      <c r="N103" s="394">
        <f>SUM(L103:M103)</f>
        <v>0</v>
      </c>
      <c r="O103" s="102">
        <f t="shared" si="8"/>
        <v>0</v>
      </c>
      <c r="P103" s="103">
        <f t="shared" si="8"/>
        <v>0</v>
      </c>
      <c r="Q103" s="91">
        <f>SUM(O103:P103)</f>
        <v>0</v>
      </c>
      <c r="R103" s="236"/>
    </row>
    <row r="104" spans="1:18" ht="17.25" thickBot="1" x14ac:dyDescent="0.35">
      <c r="A104" s="235"/>
      <c r="B104" s="797" t="s">
        <v>75</v>
      </c>
      <c r="C104" s="798"/>
      <c r="D104" s="798"/>
      <c r="E104" s="798"/>
      <c r="F104" s="798"/>
      <c r="G104" s="798"/>
      <c r="H104" s="798"/>
      <c r="I104" s="798"/>
      <c r="J104" s="798"/>
      <c r="K104" s="798"/>
      <c r="L104" s="244">
        <f>SUM(L15:L103)</f>
        <v>0</v>
      </c>
      <c r="M104" s="244">
        <f>SUM(M15:M103)</f>
        <v>0</v>
      </c>
      <c r="N104" s="104">
        <f>SUM(N15:N103)</f>
        <v>0</v>
      </c>
      <c r="O104" s="105">
        <f>SUM(O15:O103)</f>
        <v>0</v>
      </c>
      <c r="P104" s="106">
        <f>SUM(P15:P103)</f>
        <v>0</v>
      </c>
      <c r="Q104" s="107">
        <f>SUM(O104:P104)</f>
        <v>0</v>
      </c>
      <c r="R104" s="236"/>
    </row>
    <row r="105" spans="1:18" ht="17.25" thickBot="1" x14ac:dyDescent="0.35">
      <c r="A105" s="245"/>
      <c r="B105" s="246"/>
      <c r="C105" s="246"/>
      <c r="D105" s="246"/>
      <c r="E105" s="246"/>
      <c r="F105" s="246"/>
      <c r="G105" s="246"/>
      <c r="H105" s="246"/>
      <c r="I105" s="246"/>
      <c r="J105" s="246"/>
      <c r="K105" s="246"/>
      <c r="L105" s="247"/>
      <c r="M105" s="253"/>
      <c r="N105" s="253"/>
      <c r="O105" s="381"/>
      <c r="P105" s="381"/>
      <c r="Q105" s="381"/>
      <c r="R105" s="248"/>
    </row>
    <row r="106" spans="1:18" ht="30" customHeight="1" x14ac:dyDescent="0.3">
      <c r="A106" s="235"/>
      <c r="B106" s="249" t="s">
        <v>260</v>
      </c>
      <c r="C106" s="250">
        <f>SUMIF(G15:G103,"M",N15:N103)</f>
        <v>0</v>
      </c>
      <c r="D106" s="251" t="s">
        <v>276</v>
      </c>
      <c r="E106" s="250">
        <f>SUMIF(G15:G103,"H",N15:N103)</f>
        <v>0</v>
      </c>
      <c r="F106" s="251" t="s">
        <v>259</v>
      </c>
      <c r="G106" s="250">
        <f>SUMIF(H15:H103,"doctor",N15:N103)</f>
        <v>0</v>
      </c>
      <c r="H106" s="251" t="s">
        <v>264</v>
      </c>
      <c r="I106" s="252">
        <f>SUMIF(I15:I103,"SI",N15:N103)</f>
        <v>0</v>
      </c>
      <c r="J106" s="795" t="s">
        <v>575</v>
      </c>
      <c r="K106" s="795"/>
      <c r="L106" s="795"/>
      <c r="M106" s="416">
        <f>C106+E106</f>
        <v>0</v>
      </c>
      <c r="N106" s="1266" t="s">
        <v>576</v>
      </c>
      <c r="O106" s="1267"/>
      <c r="P106" s="1267"/>
      <c r="Q106" s="1267"/>
      <c r="R106" s="236"/>
    </row>
    <row r="107" spans="1:18" ht="30" customHeight="1" thickBot="1" x14ac:dyDescent="0.35">
      <c r="A107" s="235"/>
      <c r="B107" s="254" t="s">
        <v>261</v>
      </c>
      <c r="C107" s="255">
        <f>COUNTIF(G15:G103,"M")</f>
        <v>0</v>
      </c>
      <c r="D107" s="256" t="s">
        <v>262</v>
      </c>
      <c r="E107" s="255">
        <f>COUNTIF(G15:G103,"H")</f>
        <v>0</v>
      </c>
      <c r="F107" s="256" t="s">
        <v>263</v>
      </c>
      <c r="G107" s="255">
        <f>COUNTIF(H15:H103,"doctor")</f>
        <v>0</v>
      </c>
      <c r="H107" s="256" t="s">
        <v>265</v>
      </c>
      <c r="I107" s="255">
        <f>COUNTIF(I15:I103,"SI")</f>
        <v>0</v>
      </c>
      <c r="J107" s="796" t="s">
        <v>270</v>
      </c>
      <c r="K107" s="796"/>
      <c r="L107" s="796"/>
      <c r="M107" s="419">
        <f>C107+E107</f>
        <v>0</v>
      </c>
      <c r="N107" s="1266"/>
      <c r="O107" s="1267"/>
      <c r="P107" s="1267"/>
      <c r="Q107" s="1267"/>
      <c r="R107" s="236"/>
    </row>
    <row r="108" spans="1:18" ht="30" customHeight="1" thickBot="1" x14ac:dyDescent="0.35">
      <c r="A108" s="235"/>
      <c r="B108" s="417" t="s">
        <v>256</v>
      </c>
      <c r="C108" s="418">
        <f>IF(N104=0,0,C106/N104)</f>
        <v>0</v>
      </c>
      <c r="D108" s="397" t="s">
        <v>257</v>
      </c>
      <c r="E108" s="418">
        <f>IF(N104=0,0,E106/N104)</f>
        <v>0</v>
      </c>
      <c r="F108" s="397" t="s">
        <v>258</v>
      </c>
      <c r="G108" s="418">
        <f>IF(N104=0,0,G106/N104)</f>
        <v>0</v>
      </c>
      <c r="H108" s="397" t="s">
        <v>266</v>
      </c>
      <c r="I108" s="418">
        <f>IF(N104=0,0,I106/N104)</f>
        <v>0</v>
      </c>
      <c r="J108" s="852" t="s">
        <v>123</v>
      </c>
      <c r="K108" s="852"/>
      <c r="L108" s="853"/>
      <c r="M108" s="253"/>
      <c r="N108" s="253"/>
      <c r="O108" s="253"/>
      <c r="P108" s="253"/>
      <c r="Q108" s="253"/>
      <c r="R108" s="236"/>
    </row>
    <row r="109" spans="1:18" ht="13.5" thickBot="1" x14ac:dyDescent="0.25">
      <c r="A109" s="257"/>
      <c r="B109" s="258"/>
      <c r="C109" s="258"/>
      <c r="D109" s="258"/>
      <c r="E109" s="258"/>
      <c r="F109" s="258"/>
      <c r="G109" s="258"/>
      <c r="H109" s="258"/>
      <c r="I109" s="258"/>
      <c r="J109" s="258"/>
      <c r="K109" s="258"/>
      <c r="L109" s="258"/>
      <c r="M109" s="258"/>
      <c r="N109" s="258"/>
      <c r="O109" s="258"/>
      <c r="P109" s="258"/>
      <c r="Q109" s="258"/>
      <c r="R109" s="259"/>
    </row>
    <row r="110" spans="1:18" x14ac:dyDescent="0.2"/>
    <row r="111" spans="1:18" hidden="1" x14ac:dyDescent="0.2"/>
    <row r="112" spans="1:18"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sheetData>
  <sheetProtection password="DD66" sheet="1" selectLockedCells="1"/>
  <mergeCells count="145">
    <mergeCell ref="B12:Q12"/>
    <mergeCell ref="O13:Q13"/>
    <mergeCell ref="B6:Q7"/>
    <mergeCell ref="B2:Q2"/>
    <mergeCell ref="B3:F3"/>
    <mergeCell ref="G3:H3"/>
    <mergeCell ref="B4:F5"/>
    <mergeCell ref="I4:K4"/>
    <mergeCell ref="L4:Q4"/>
    <mergeCell ref="I5:K5"/>
    <mergeCell ref="L5:Q5"/>
    <mergeCell ref="O3:Q3"/>
    <mergeCell ref="I3:K3"/>
    <mergeCell ref="L3:N3"/>
    <mergeCell ref="E35:F35"/>
    <mergeCell ref="E36:F36"/>
    <mergeCell ref="E94:F94"/>
    <mergeCell ref="E29:F29"/>
    <mergeCell ref="E88:F88"/>
    <mergeCell ref="E89:F89"/>
    <mergeCell ref="E90:F90"/>
    <mergeCell ref="B9:Q9"/>
    <mergeCell ref="B91:C91"/>
    <mergeCell ref="B24:C24"/>
    <mergeCell ref="B42:C42"/>
    <mergeCell ref="B43:C43"/>
    <mergeCell ref="B92:C92"/>
    <mergeCell ref="B93:C93"/>
    <mergeCell ref="B35:C35"/>
    <mergeCell ref="B25:C25"/>
    <mergeCell ref="B26:C26"/>
    <mergeCell ref="B27:C27"/>
    <mergeCell ref="B28:C28"/>
    <mergeCell ref="B36:C36"/>
    <mergeCell ref="B40:C40"/>
    <mergeCell ref="B45:C45"/>
    <mergeCell ref="E15:F15"/>
    <mergeCell ref="L13:N13"/>
    <mergeCell ref="E30:F30"/>
    <mergeCell ref="E31:F31"/>
    <mergeCell ref="B95:C95"/>
    <mergeCell ref="E16:F16"/>
    <mergeCell ref="E17:F17"/>
    <mergeCell ref="E18:F18"/>
    <mergeCell ref="E19:F19"/>
    <mergeCell ref="E20:F20"/>
    <mergeCell ref="E95:F95"/>
    <mergeCell ref="E91:F91"/>
    <mergeCell ref="E92:F92"/>
    <mergeCell ref="E93:F93"/>
    <mergeCell ref="B44:C44"/>
    <mergeCell ref="E25:F25"/>
    <mergeCell ref="E26:F26"/>
    <mergeCell ref="E27:F27"/>
    <mergeCell ref="E28:F28"/>
    <mergeCell ref="B41:C41"/>
    <mergeCell ref="E21:F21"/>
    <mergeCell ref="E22:F22"/>
    <mergeCell ref="E23:F23"/>
    <mergeCell ref="E39:F39"/>
    <mergeCell ref="E24:F24"/>
    <mergeCell ref="B34:C34"/>
    <mergeCell ref="B99:C99"/>
    <mergeCell ref="E98:F98"/>
    <mergeCell ref="E99:F99"/>
    <mergeCell ref="B37:C37"/>
    <mergeCell ref="B50:C50"/>
    <mergeCell ref="B51:C51"/>
    <mergeCell ref="B52:C52"/>
    <mergeCell ref="B53:C53"/>
    <mergeCell ref="B54:C54"/>
    <mergeCell ref="B55:C55"/>
    <mergeCell ref="B87:C87"/>
    <mergeCell ref="D13:D14"/>
    <mergeCell ref="H13:H14"/>
    <mergeCell ref="B13:C14"/>
    <mergeCell ref="E13:F14"/>
    <mergeCell ref="G13:G14"/>
    <mergeCell ref="B96:C96"/>
    <mergeCell ref="B97:C97"/>
    <mergeCell ref="E96:F96"/>
    <mergeCell ref="B16:C16"/>
    <mergeCell ref="B17:C17"/>
    <mergeCell ref="B18:C18"/>
    <mergeCell ref="B19:C19"/>
    <mergeCell ref="B20:C20"/>
    <mergeCell ref="E97:F97"/>
    <mergeCell ref="B23:C23"/>
    <mergeCell ref="B94:C94"/>
    <mergeCell ref="B29:C29"/>
    <mergeCell ref="B88:C88"/>
    <mergeCell ref="B89:C89"/>
    <mergeCell ref="B90:C90"/>
    <mergeCell ref="B30:C30"/>
    <mergeCell ref="B31:C31"/>
    <mergeCell ref="B32:C32"/>
    <mergeCell ref="B33:C33"/>
    <mergeCell ref="J108:L108"/>
    <mergeCell ref="J106:L106"/>
    <mergeCell ref="E32:F32"/>
    <mergeCell ref="E33:F33"/>
    <mergeCell ref="E34:F34"/>
    <mergeCell ref="E48:F48"/>
    <mergeCell ref="E49:F49"/>
    <mergeCell ref="E37:F37"/>
    <mergeCell ref="E38:F38"/>
    <mergeCell ref="E44:F44"/>
    <mergeCell ref="E45:F45"/>
    <mergeCell ref="E43:F43"/>
    <mergeCell ref="E40:F40"/>
    <mergeCell ref="E47:F47"/>
    <mergeCell ref="E46:F46"/>
    <mergeCell ref="E103:F103"/>
    <mergeCell ref="B104:K104"/>
    <mergeCell ref="B100:C100"/>
    <mergeCell ref="B101:C101"/>
    <mergeCell ref="B102:C102"/>
    <mergeCell ref="E102:F102"/>
    <mergeCell ref="E100:F100"/>
    <mergeCell ref="E101:F101"/>
    <mergeCell ref="B98:C98"/>
    <mergeCell ref="I13:I14"/>
    <mergeCell ref="A11:R11"/>
    <mergeCell ref="E41:F41"/>
    <mergeCell ref="E42:F42"/>
    <mergeCell ref="J107:L107"/>
    <mergeCell ref="E50:F50"/>
    <mergeCell ref="E51:F51"/>
    <mergeCell ref="E87:F87"/>
    <mergeCell ref="E52:F52"/>
    <mergeCell ref="E53:F53"/>
    <mergeCell ref="E54:F54"/>
    <mergeCell ref="E55:F55"/>
    <mergeCell ref="N106:Q107"/>
    <mergeCell ref="B15:C15"/>
    <mergeCell ref="B38:C38"/>
    <mergeCell ref="B39:C39"/>
    <mergeCell ref="B21:C21"/>
    <mergeCell ref="B22:C22"/>
    <mergeCell ref="B46:C46"/>
    <mergeCell ref="B47:C47"/>
    <mergeCell ref="B48:C48"/>
    <mergeCell ref="B49:C49"/>
    <mergeCell ref="B103:C103"/>
    <mergeCell ref="J13:K13"/>
  </mergeCells>
  <phoneticPr fontId="2" type="noConversion"/>
  <conditionalFormatting sqref="L15:M103">
    <cfRule type="cellIs" dxfId="0" priority="1" stopIfTrue="1" operator="greaterThan">
      <formula>$AA$10</formula>
    </cfRule>
  </conditionalFormatting>
  <dataValidations count="6">
    <dataValidation type="decimal" allowBlank="1" showInputMessage="1" showErrorMessage="1" error="Introduzca un valor numérico" sqref="G3:H3 H4:H5" xr:uid="{00000000-0002-0000-0600-000000000000}">
      <formula1>0</formula1>
      <formula2>3000</formula2>
    </dataValidation>
    <dataValidation type="list" allowBlank="1" showInputMessage="1" showErrorMessage="1" sqref="G15:G103" xr:uid="{00000000-0002-0000-0600-000001000000}">
      <formula1>$U$10:$U$11</formula1>
    </dataValidation>
    <dataValidation type="list" allowBlank="1" showInputMessage="1" showErrorMessage="1" sqref="H15:H103" xr:uid="{00000000-0002-0000-0600-000002000000}">
      <formula1>$W$10:$W$12</formula1>
    </dataValidation>
    <dataValidation type="list" allowBlank="1" showInputMessage="1" showErrorMessage="1" sqref="I15:I103" xr:uid="{00000000-0002-0000-0600-000003000000}">
      <formula1>$Y$10:$Y$11</formula1>
    </dataValidation>
    <dataValidation type="decimal" operator="lessThanOrEqual" allowBlank="1" showInputMessage="1" showErrorMessage="1" error="No puede ser superior a 40 €/hora" sqref="J15:K103" xr:uid="{00000000-0002-0000-0600-000004000000}">
      <formula1>40</formula1>
    </dataValidation>
    <dataValidation type="whole" operator="lessThanOrEqual" allowBlank="1" showInputMessage="1" showErrorMessage="1" error="No se puede superar las horas de convenio, valores enteros" sqref="L15:M103" xr:uid="{00000000-0002-0000-0600-000005000000}">
      <formula1>$AA$10</formula1>
    </dataValidation>
  </dataValidation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34"/>
  <sheetViews>
    <sheetView showGridLines="0" zoomScaleNormal="100" workbookViewId="0">
      <selection activeCell="C6" sqref="C6"/>
    </sheetView>
  </sheetViews>
  <sheetFormatPr baseColWidth="10" defaultColWidth="0" defaultRowHeight="12.75" zeroHeight="1" x14ac:dyDescent="0.2"/>
  <cols>
    <col min="1" max="1" width="1.7109375" style="70" customWidth="1"/>
    <col min="2" max="2" width="45.7109375" style="70" customWidth="1"/>
    <col min="3" max="5" width="12.7109375" style="70" customWidth="1"/>
    <col min="6" max="7" width="1.7109375" style="70" customWidth="1"/>
    <col min="8" max="16384" width="0" style="70" hidden="1"/>
  </cols>
  <sheetData>
    <row r="1" spans="1:6" ht="14.25" thickTop="1" thickBot="1" x14ac:dyDescent="0.25">
      <c r="A1" s="260"/>
      <c r="B1" s="261"/>
      <c r="C1" s="261"/>
      <c r="D1" s="261"/>
      <c r="E1" s="261"/>
      <c r="F1" s="262"/>
    </row>
    <row r="2" spans="1:6" ht="16.5" customHeight="1" x14ac:dyDescent="0.2">
      <c r="A2" s="263"/>
      <c r="B2" s="1316" t="s">
        <v>137</v>
      </c>
      <c r="C2" s="1317"/>
      <c r="D2" s="1317"/>
      <c r="E2" s="1317"/>
      <c r="F2" s="264"/>
    </row>
    <row r="3" spans="1:6" ht="16.5" customHeight="1" thickBot="1" x14ac:dyDescent="0.25">
      <c r="A3" s="263"/>
      <c r="B3" s="1318"/>
      <c r="C3" s="1319"/>
      <c r="D3" s="1319"/>
      <c r="E3" s="1319"/>
      <c r="F3" s="264"/>
    </row>
    <row r="4" spans="1:6" ht="16.5" customHeight="1" thickBot="1" x14ac:dyDescent="0.25">
      <c r="A4" s="265"/>
      <c r="B4" s="1312" t="s">
        <v>63</v>
      </c>
      <c r="C4" s="1314" t="s">
        <v>69</v>
      </c>
      <c r="D4" s="1315"/>
      <c r="E4" s="1315"/>
      <c r="F4" s="266"/>
    </row>
    <row r="5" spans="1:6" ht="16.5" customHeight="1" thickBot="1" x14ac:dyDescent="0.25">
      <c r="A5" s="265"/>
      <c r="B5" s="1313"/>
      <c r="C5" s="267" t="s">
        <v>11</v>
      </c>
      <c r="D5" s="268" t="s">
        <v>12</v>
      </c>
      <c r="E5" s="269" t="s">
        <v>62</v>
      </c>
      <c r="F5" s="203"/>
    </row>
    <row r="6" spans="1:6" ht="16.5" customHeight="1" x14ac:dyDescent="0.2">
      <c r="A6" s="265"/>
      <c r="B6" s="111"/>
      <c r="C6" s="337"/>
      <c r="D6" s="338"/>
      <c r="E6" s="339">
        <f>SUM(C6:D6)</f>
        <v>0</v>
      </c>
      <c r="F6" s="203"/>
    </row>
    <row r="7" spans="1:6" ht="16.5" customHeight="1" x14ac:dyDescent="0.2">
      <c r="A7" s="265"/>
      <c r="B7" s="112"/>
      <c r="C7" s="340"/>
      <c r="D7" s="341"/>
      <c r="E7" s="342">
        <f t="shared" ref="E7:E32" si="0">SUM(C7:D7)</f>
        <v>0</v>
      </c>
      <c r="F7" s="203"/>
    </row>
    <row r="8" spans="1:6" ht="16.5" customHeight="1" x14ac:dyDescent="0.2">
      <c r="A8" s="265"/>
      <c r="B8" s="112"/>
      <c r="C8" s="340"/>
      <c r="D8" s="341"/>
      <c r="E8" s="342">
        <f t="shared" si="0"/>
        <v>0</v>
      </c>
      <c r="F8" s="203"/>
    </row>
    <row r="9" spans="1:6" ht="16.5" customHeight="1" x14ac:dyDescent="0.2">
      <c r="A9" s="265"/>
      <c r="B9" s="112"/>
      <c r="C9" s="340"/>
      <c r="D9" s="341"/>
      <c r="E9" s="342">
        <f t="shared" si="0"/>
        <v>0</v>
      </c>
      <c r="F9" s="203"/>
    </row>
    <row r="10" spans="1:6" ht="16.5" customHeight="1" x14ac:dyDescent="0.2">
      <c r="A10" s="265"/>
      <c r="B10" s="112"/>
      <c r="C10" s="340"/>
      <c r="D10" s="341"/>
      <c r="E10" s="342">
        <f t="shared" si="0"/>
        <v>0</v>
      </c>
      <c r="F10" s="203"/>
    </row>
    <row r="11" spans="1:6" ht="16.5" customHeight="1" x14ac:dyDescent="0.2">
      <c r="A11" s="265"/>
      <c r="B11" s="112"/>
      <c r="C11" s="340"/>
      <c r="D11" s="341"/>
      <c r="E11" s="342">
        <f t="shared" si="0"/>
        <v>0</v>
      </c>
      <c r="F11" s="203"/>
    </row>
    <row r="12" spans="1:6" ht="16.5" customHeight="1" x14ac:dyDescent="0.2">
      <c r="A12" s="265"/>
      <c r="B12" s="112"/>
      <c r="C12" s="340"/>
      <c r="D12" s="341"/>
      <c r="E12" s="342">
        <f t="shared" si="0"/>
        <v>0</v>
      </c>
      <c r="F12" s="203"/>
    </row>
    <row r="13" spans="1:6" ht="16.5" customHeight="1" x14ac:dyDescent="0.2">
      <c r="A13" s="265"/>
      <c r="B13" s="112"/>
      <c r="C13" s="340"/>
      <c r="D13" s="341"/>
      <c r="E13" s="342">
        <f t="shared" si="0"/>
        <v>0</v>
      </c>
      <c r="F13" s="203"/>
    </row>
    <row r="14" spans="1:6" ht="16.5" customHeight="1" x14ac:dyDescent="0.2">
      <c r="A14" s="265"/>
      <c r="B14" s="112"/>
      <c r="C14" s="340"/>
      <c r="D14" s="341"/>
      <c r="E14" s="342">
        <f t="shared" si="0"/>
        <v>0</v>
      </c>
      <c r="F14" s="203"/>
    </row>
    <row r="15" spans="1:6" ht="16.5" customHeight="1" x14ac:dyDescent="0.2">
      <c r="A15" s="265"/>
      <c r="B15" s="112"/>
      <c r="C15" s="340"/>
      <c r="D15" s="341"/>
      <c r="E15" s="342">
        <f t="shared" si="0"/>
        <v>0</v>
      </c>
      <c r="F15" s="203"/>
    </row>
    <row r="16" spans="1:6" ht="16.5" customHeight="1" x14ac:dyDescent="0.2">
      <c r="A16" s="265"/>
      <c r="B16" s="112"/>
      <c r="C16" s="340"/>
      <c r="D16" s="341"/>
      <c r="E16" s="342">
        <f t="shared" si="0"/>
        <v>0</v>
      </c>
      <c r="F16" s="203"/>
    </row>
    <row r="17" spans="1:6" ht="16.5" customHeight="1" x14ac:dyDescent="0.2">
      <c r="A17" s="265"/>
      <c r="B17" s="112"/>
      <c r="C17" s="340"/>
      <c r="D17" s="341"/>
      <c r="E17" s="342">
        <f t="shared" si="0"/>
        <v>0</v>
      </c>
      <c r="F17" s="203"/>
    </row>
    <row r="18" spans="1:6" ht="16.5" customHeight="1" x14ac:dyDescent="0.2">
      <c r="A18" s="265"/>
      <c r="B18" s="112"/>
      <c r="C18" s="340"/>
      <c r="D18" s="341"/>
      <c r="E18" s="342">
        <f t="shared" si="0"/>
        <v>0</v>
      </c>
      <c r="F18" s="203"/>
    </row>
    <row r="19" spans="1:6" ht="16.5" customHeight="1" x14ac:dyDescent="0.2">
      <c r="A19" s="265"/>
      <c r="B19" s="112"/>
      <c r="C19" s="340"/>
      <c r="D19" s="341"/>
      <c r="E19" s="342">
        <f t="shared" si="0"/>
        <v>0</v>
      </c>
      <c r="F19" s="203"/>
    </row>
    <row r="20" spans="1:6" ht="16.5" customHeight="1" x14ac:dyDescent="0.2">
      <c r="A20" s="265"/>
      <c r="B20" s="112"/>
      <c r="C20" s="340"/>
      <c r="D20" s="341"/>
      <c r="E20" s="342">
        <f t="shared" si="0"/>
        <v>0</v>
      </c>
      <c r="F20" s="203"/>
    </row>
    <row r="21" spans="1:6" ht="16.5" customHeight="1" x14ac:dyDescent="0.2">
      <c r="A21" s="265"/>
      <c r="B21" s="112"/>
      <c r="C21" s="340"/>
      <c r="D21" s="341"/>
      <c r="E21" s="342">
        <f t="shared" si="0"/>
        <v>0</v>
      </c>
      <c r="F21" s="203"/>
    </row>
    <row r="22" spans="1:6" ht="16.5" customHeight="1" x14ac:dyDescent="0.2">
      <c r="A22" s="265"/>
      <c r="B22" s="111"/>
      <c r="C22" s="340"/>
      <c r="D22" s="341"/>
      <c r="E22" s="342">
        <f t="shared" si="0"/>
        <v>0</v>
      </c>
      <c r="F22" s="203"/>
    </row>
    <row r="23" spans="1:6" ht="16.5" customHeight="1" x14ac:dyDescent="0.2">
      <c r="A23" s="265"/>
      <c r="B23" s="112"/>
      <c r="C23" s="343"/>
      <c r="D23" s="344"/>
      <c r="E23" s="342">
        <f t="shared" si="0"/>
        <v>0</v>
      </c>
      <c r="F23" s="203"/>
    </row>
    <row r="24" spans="1:6" ht="16.5" customHeight="1" x14ac:dyDescent="0.2">
      <c r="A24" s="265"/>
      <c r="B24" s="112"/>
      <c r="C24" s="343"/>
      <c r="D24" s="344"/>
      <c r="E24" s="342">
        <f t="shared" si="0"/>
        <v>0</v>
      </c>
      <c r="F24" s="203"/>
    </row>
    <row r="25" spans="1:6" ht="16.5" customHeight="1" x14ac:dyDescent="0.2">
      <c r="A25" s="265"/>
      <c r="B25" s="112"/>
      <c r="C25" s="343"/>
      <c r="D25" s="344"/>
      <c r="E25" s="342">
        <f t="shared" si="0"/>
        <v>0</v>
      </c>
      <c r="F25" s="203"/>
    </row>
    <row r="26" spans="1:6" ht="16.5" customHeight="1" x14ac:dyDescent="0.2">
      <c r="A26" s="265"/>
      <c r="B26" s="112"/>
      <c r="C26" s="343"/>
      <c r="D26" s="344"/>
      <c r="E26" s="342">
        <f t="shared" si="0"/>
        <v>0</v>
      </c>
      <c r="F26" s="203"/>
    </row>
    <row r="27" spans="1:6" ht="16.5" customHeight="1" x14ac:dyDescent="0.2">
      <c r="A27" s="265"/>
      <c r="B27" s="112"/>
      <c r="C27" s="343"/>
      <c r="D27" s="344"/>
      <c r="E27" s="342">
        <f t="shared" si="0"/>
        <v>0</v>
      </c>
      <c r="F27" s="203"/>
    </row>
    <row r="28" spans="1:6" ht="16.5" customHeight="1" x14ac:dyDescent="0.2">
      <c r="A28" s="265"/>
      <c r="B28" s="112"/>
      <c r="C28" s="343"/>
      <c r="D28" s="344"/>
      <c r="E28" s="342">
        <f t="shared" si="0"/>
        <v>0</v>
      </c>
      <c r="F28" s="203"/>
    </row>
    <row r="29" spans="1:6" ht="16.5" customHeight="1" x14ac:dyDescent="0.2">
      <c r="A29" s="265"/>
      <c r="B29" s="112"/>
      <c r="C29" s="343"/>
      <c r="D29" s="344"/>
      <c r="E29" s="342">
        <f t="shared" si="0"/>
        <v>0</v>
      </c>
      <c r="F29" s="203"/>
    </row>
    <row r="30" spans="1:6" ht="16.5" customHeight="1" x14ac:dyDescent="0.2">
      <c r="A30" s="265"/>
      <c r="B30" s="112"/>
      <c r="C30" s="343"/>
      <c r="D30" s="344"/>
      <c r="E30" s="342">
        <f t="shared" si="0"/>
        <v>0</v>
      </c>
      <c r="F30" s="203"/>
    </row>
    <row r="31" spans="1:6" ht="16.5" customHeight="1" thickBot="1" x14ac:dyDescent="0.25">
      <c r="A31" s="265"/>
      <c r="B31" s="113"/>
      <c r="C31" s="345"/>
      <c r="D31" s="145"/>
      <c r="E31" s="346">
        <f t="shared" si="0"/>
        <v>0</v>
      </c>
      <c r="F31" s="203"/>
    </row>
    <row r="32" spans="1:6" ht="16.5" customHeight="1" thickBot="1" x14ac:dyDescent="0.25">
      <c r="A32" s="265"/>
      <c r="B32" s="122" t="s">
        <v>60</v>
      </c>
      <c r="C32" s="347">
        <f>SUM(C6:C31)</f>
        <v>0</v>
      </c>
      <c r="D32" s="348">
        <f>SUM(D6:D31)</f>
        <v>0</v>
      </c>
      <c r="E32" s="349">
        <f t="shared" si="0"/>
        <v>0</v>
      </c>
      <c r="F32" s="203"/>
    </row>
    <row r="33" spans="1:6" ht="12.75" customHeight="1" thickBot="1" x14ac:dyDescent="0.25">
      <c r="A33" s="270"/>
      <c r="B33" s="1310"/>
      <c r="C33" s="1310"/>
      <c r="D33" s="1310"/>
      <c r="E33" s="1310"/>
      <c r="F33" s="1311"/>
    </row>
    <row r="34" spans="1:6" ht="13.5" thickTop="1" x14ac:dyDescent="0.2"/>
  </sheetData>
  <sheetProtection password="DD66" sheet="1" selectLockedCells="1"/>
  <mergeCells count="4">
    <mergeCell ref="B33:F33"/>
    <mergeCell ref="B4:B5"/>
    <mergeCell ref="C4:E4"/>
    <mergeCell ref="B2:E3"/>
  </mergeCells>
  <phoneticPr fontId="2" type="noConversion"/>
  <dataValidations count="1">
    <dataValidation type="decimal" allowBlank="1" showInputMessage="1" showErrorMessage="1" error="Introduzca un valor numérico" sqref="C6:D31" xr:uid="{00000000-0002-0000-0700-000000000000}">
      <formula1>0</formula1>
      <formula2>99999999</formula2>
    </dataValidation>
  </dataValidations>
  <pageMargins left="0.75" right="0.75" top="1" bottom="1" header="0" footer="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M46"/>
  <sheetViews>
    <sheetView showGridLines="0" tabSelected="1" zoomScaleNormal="100" workbookViewId="0">
      <selection activeCell="D4" sqref="D4"/>
    </sheetView>
  </sheetViews>
  <sheetFormatPr baseColWidth="10" defaultColWidth="0" defaultRowHeight="12.75" zeroHeight="1" x14ac:dyDescent="0.2"/>
  <cols>
    <col min="1" max="1" width="1.7109375" style="70" customWidth="1"/>
    <col min="2" max="2" width="45.7109375" style="70" customWidth="1"/>
    <col min="3" max="3" width="12.5703125" style="70" customWidth="1"/>
    <col min="4" max="4" width="17.85546875" style="70" customWidth="1"/>
    <col min="5" max="6" width="14.140625" style="70" customWidth="1"/>
    <col min="7" max="7" width="14.7109375" style="70" customWidth="1"/>
    <col min="8" max="9" width="1.7109375" style="70" customWidth="1"/>
    <col min="10" max="16384" width="0" style="70" hidden="1"/>
  </cols>
  <sheetData>
    <row r="1" spans="1:13" ht="13.5" thickBot="1" x14ac:dyDescent="0.25">
      <c r="A1" s="271"/>
      <c r="B1" s="272"/>
      <c r="C1" s="272"/>
      <c r="D1" s="272"/>
      <c r="E1" s="272"/>
      <c r="F1" s="273"/>
      <c r="G1" s="273"/>
      <c r="H1" s="274"/>
    </row>
    <row r="2" spans="1:13" ht="16.5" thickBot="1" x14ac:dyDescent="0.25">
      <c r="A2" s="230"/>
      <c r="B2" s="1320" t="s">
        <v>138</v>
      </c>
      <c r="C2" s="1321"/>
      <c r="D2" s="1321"/>
      <c r="E2" s="1321"/>
      <c r="F2" s="1321"/>
      <c r="G2" s="1322"/>
      <c r="H2" s="275"/>
      <c r="K2" s="226" t="s">
        <v>267</v>
      </c>
      <c r="M2" s="226" t="s">
        <v>268</v>
      </c>
    </row>
    <row r="3" spans="1:13" ht="61.5" customHeight="1" x14ac:dyDescent="0.2">
      <c r="A3" s="230"/>
      <c r="B3" s="276" t="s">
        <v>124</v>
      </c>
      <c r="C3" s="277" t="s">
        <v>119</v>
      </c>
      <c r="D3" s="277" t="s">
        <v>128</v>
      </c>
      <c r="E3" s="278" t="s">
        <v>126</v>
      </c>
      <c r="F3" s="279" t="s">
        <v>127</v>
      </c>
      <c r="G3" s="280" t="s">
        <v>60</v>
      </c>
      <c r="H3" s="275"/>
      <c r="K3" s="149" t="s">
        <v>119</v>
      </c>
      <c r="L3" s="149"/>
      <c r="M3" s="149" t="s">
        <v>128</v>
      </c>
    </row>
    <row r="4" spans="1:13" ht="16.5" customHeight="1" x14ac:dyDescent="0.2">
      <c r="A4" s="230"/>
      <c r="B4" s="115"/>
      <c r="C4" s="116"/>
      <c r="D4" s="117"/>
      <c r="E4" s="361"/>
      <c r="F4" s="362"/>
      <c r="G4" s="363">
        <f>SUM(E4:F4)</f>
        <v>0</v>
      </c>
      <c r="H4" s="275"/>
      <c r="K4" s="232" t="s">
        <v>85</v>
      </c>
      <c r="M4" s="232" t="s">
        <v>240</v>
      </c>
    </row>
    <row r="5" spans="1:13" ht="16.5" customHeight="1" x14ac:dyDescent="0.2">
      <c r="A5" s="230"/>
      <c r="B5" s="115"/>
      <c r="C5" s="116"/>
      <c r="D5" s="116"/>
      <c r="E5" s="362"/>
      <c r="F5" s="362"/>
      <c r="G5" s="363">
        <f t="shared" ref="G5:G34" si="0">SUM(E5:F5)</f>
        <v>0</v>
      </c>
      <c r="H5" s="275"/>
      <c r="K5" s="232" t="s">
        <v>76</v>
      </c>
      <c r="M5" s="232" t="s">
        <v>241</v>
      </c>
    </row>
    <row r="6" spans="1:13" ht="16.5" customHeight="1" x14ac:dyDescent="0.2">
      <c r="A6" s="230"/>
      <c r="B6" s="115"/>
      <c r="C6" s="116"/>
      <c r="D6" s="116"/>
      <c r="E6" s="361"/>
      <c r="F6" s="362"/>
      <c r="G6" s="363">
        <f t="shared" si="0"/>
        <v>0</v>
      </c>
      <c r="H6" s="275"/>
      <c r="M6" s="232" t="s">
        <v>121</v>
      </c>
    </row>
    <row r="7" spans="1:13" ht="16.5" customHeight="1" x14ac:dyDescent="0.2">
      <c r="A7" s="230"/>
      <c r="B7" s="115"/>
      <c r="C7" s="116"/>
      <c r="D7" s="116"/>
      <c r="E7" s="362"/>
      <c r="F7" s="362"/>
      <c r="G7" s="363">
        <f t="shared" si="0"/>
        <v>0</v>
      </c>
      <c r="H7" s="275"/>
      <c r="M7" s="232" t="s">
        <v>190</v>
      </c>
    </row>
    <row r="8" spans="1:13" ht="16.5" customHeight="1" x14ac:dyDescent="0.2">
      <c r="A8" s="230"/>
      <c r="B8" s="115"/>
      <c r="C8" s="116"/>
      <c r="D8" s="116"/>
      <c r="E8" s="361"/>
      <c r="F8" s="362"/>
      <c r="G8" s="363">
        <f t="shared" si="0"/>
        <v>0</v>
      </c>
      <c r="H8" s="275"/>
    </row>
    <row r="9" spans="1:13" ht="16.5" customHeight="1" x14ac:dyDescent="0.2">
      <c r="A9" s="230"/>
      <c r="B9" s="115"/>
      <c r="C9" s="116"/>
      <c r="D9" s="117"/>
      <c r="E9" s="362"/>
      <c r="F9" s="362"/>
      <c r="G9" s="363">
        <f t="shared" si="0"/>
        <v>0</v>
      </c>
      <c r="H9" s="275"/>
    </row>
    <row r="10" spans="1:13" ht="16.5" customHeight="1" x14ac:dyDescent="0.2">
      <c r="A10" s="230"/>
      <c r="B10" s="115"/>
      <c r="C10" s="116"/>
      <c r="D10" s="116"/>
      <c r="E10" s="361"/>
      <c r="F10" s="362"/>
      <c r="G10" s="363">
        <f t="shared" si="0"/>
        <v>0</v>
      </c>
      <c r="H10" s="275"/>
    </row>
    <row r="11" spans="1:13" ht="16.5" customHeight="1" x14ac:dyDescent="0.2">
      <c r="A11" s="230"/>
      <c r="B11" s="115"/>
      <c r="C11" s="116"/>
      <c r="D11" s="116"/>
      <c r="E11" s="362"/>
      <c r="F11" s="362"/>
      <c r="G11" s="363">
        <f t="shared" si="0"/>
        <v>0</v>
      </c>
      <c r="H11" s="275"/>
    </row>
    <row r="12" spans="1:13" ht="16.5" customHeight="1" x14ac:dyDescent="0.2">
      <c r="A12" s="230"/>
      <c r="B12" s="115"/>
      <c r="C12" s="116"/>
      <c r="D12" s="116"/>
      <c r="E12" s="361"/>
      <c r="F12" s="362"/>
      <c r="G12" s="363">
        <f t="shared" si="0"/>
        <v>0</v>
      </c>
      <c r="H12" s="275"/>
    </row>
    <row r="13" spans="1:13" ht="16.5" customHeight="1" x14ac:dyDescent="0.2">
      <c r="A13" s="230"/>
      <c r="B13" s="115"/>
      <c r="C13" s="116"/>
      <c r="D13" s="116"/>
      <c r="E13" s="362"/>
      <c r="F13" s="362"/>
      <c r="G13" s="363">
        <f t="shared" si="0"/>
        <v>0</v>
      </c>
      <c r="H13" s="275"/>
    </row>
    <row r="14" spans="1:13" ht="16.5" customHeight="1" x14ac:dyDescent="0.2">
      <c r="A14" s="230"/>
      <c r="B14" s="115"/>
      <c r="C14" s="116"/>
      <c r="D14" s="116"/>
      <c r="E14" s="361"/>
      <c r="F14" s="362"/>
      <c r="G14" s="363">
        <f t="shared" si="0"/>
        <v>0</v>
      </c>
      <c r="H14" s="275"/>
    </row>
    <row r="15" spans="1:13" ht="16.5" customHeight="1" x14ac:dyDescent="0.2">
      <c r="A15" s="230"/>
      <c r="B15" s="115"/>
      <c r="C15" s="116"/>
      <c r="D15" s="116"/>
      <c r="E15" s="362"/>
      <c r="F15" s="362"/>
      <c r="G15" s="363">
        <f t="shared" si="0"/>
        <v>0</v>
      </c>
      <c r="H15" s="275"/>
    </row>
    <row r="16" spans="1:13" ht="16.5" customHeight="1" x14ac:dyDescent="0.2">
      <c r="A16" s="230"/>
      <c r="B16" s="115"/>
      <c r="C16" s="116"/>
      <c r="D16" s="116"/>
      <c r="E16" s="361"/>
      <c r="F16" s="362"/>
      <c r="G16" s="363">
        <f t="shared" si="0"/>
        <v>0</v>
      </c>
      <c r="H16" s="275"/>
    </row>
    <row r="17" spans="1:8" ht="16.5" customHeight="1" x14ac:dyDescent="0.2">
      <c r="A17" s="230"/>
      <c r="B17" s="115"/>
      <c r="C17" s="116"/>
      <c r="D17" s="117"/>
      <c r="E17" s="362"/>
      <c r="F17" s="362"/>
      <c r="G17" s="363">
        <f t="shared" si="0"/>
        <v>0</v>
      </c>
      <c r="H17" s="275"/>
    </row>
    <row r="18" spans="1:8" ht="16.5" customHeight="1" x14ac:dyDescent="0.2">
      <c r="A18" s="230"/>
      <c r="B18" s="115"/>
      <c r="C18" s="116"/>
      <c r="D18" s="116"/>
      <c r="E18" s="361"/>
      <c r="F18" s="362"/>
      <c r="G18" s="363">
        <f t="shared" si="0"/>
        <v>0</v>
      </c>
      <c r="H18" s="275"/>
    </row>
    <row r="19" spans="1:8" ht="16.5" customHeight="1" x14ac:dyDescent="0.2">
      <c r="A19" s="230"/>
      <c r="B19" s="115"/>
      <c r="C19" s="116"/>
      <c r="D19" s="116"/>
      <c r="E19" s="362"/>
      <c r="F19" s="362"/>
      <c r="G19" s="363">
        <f t="shared" si="0"/>
        <v>0</v>
      </c>
      <c r="H19" s="275"/>
    </row>
    <row r="20" spans="1:8" ht="16.5" customHeight="1" x14ac:dyDescent="0.2">
      <c r="A20" s="230"/>
      <c r="B20" s="115"/>
      <c r="C20" s="116"/>
      <c r="D20" s="116"/>
      <c r="E20" s="361"/>
      <c r="F20" s="362"/>
      <c r="G20" s="363">
        <f t="shared" si="0"/>
        <v>0</v>
      </c>
      <c r="H20" s="275"/>
    </row>
    <row r="21" spans="1:8" ht="16.5" customHeight="1" x14ac:dyDescent="0.2">
      <c r="A21" s="230"/>
      <c r="B21" s="115"/>
      <c r="C21" s="116"/>
      <c r="D21" s="116"/>
      <c r="E21" s="362"/>
      <c r="F21" s="362"/>
      <c r="G21" s="363">
        <f t="shared" si="0"/>
        <v>0</v>
      </c>
      <c r="H21" s="275"/>
    </row>
    <row r="22" spans="1:8" ht="16.5" customHeight="1" x14ac:dyDescent="0.2">
      <c r="A22" s="230"/>
      <c r="B22" s="115"/>
      <c r="C22" s="116"/>
      <c r="D22" s="116"/>
      <c r="E22" s="362"/>
      <c r="F22" s="362"/>
      <c r="G22" s="363">
        <f t="shared" si="0"/>
        <v>0</v>
      </c>
      <c r="H22" s="275"/>
    </row>
    <row r="23" spans="1:8" ht="16.5" customHeight="1" x14ac:dyDescent="0.2">
      <c r="A23" s="230"/>
      <c r="B23" s="115"/>
      <c r="C23" s="116"/>
      <c r="D23" s="116"/>
      <c r="E23" s="362"/>
      <c r="F23" s="362"/>
      <c r="G23" s="363">
        <f t="shared" si="0"/>
        <v>0</v>
      </c>
      <c r="H23" s="275"/>
    </row>
    <row r="24" spans="1:8" ht="16.5" customHeight="1" x14ac:dyDescent="0.2">
      <c r="A24" s="230"/>
      <c r="B24" s="115"/>
      <c r="C24" s="116"/>
      <c r="D24" s="116"/>
      <c r="E24" s="362"/>
      <c r="F24" s="362"/>
      <c r="G24" s="363">
        <f t="shared" si="0"/>
        <v>0</v>
      </c>
      <c r="H24" s="275"/>
    </row>
    <row r="25" spans="1:8" ht="16.5" customHeight="1" x14ac:dyDescent="0.2">
      <c r="A25" s="230"/>
      <c r="B25" s="115"/>
      <c r="C25" s="116"/>
      <c r="D25" s="116"/>
      <c r="E25" s="362"/>
      <c r="F25" s="362"/>
      <c r="G25" s="363">
        <f t="shared" si="0"/>
        <v>0</v>
      </c>
      <c r="H25" s="275"/>
    </row>
    <row r="26" spans="1:8" ht="16.5" customHeight="1" x14ac:dyDescent="0.2">
      <c r="A26" s="230"/>
      <c r="B26" s="115"/>
      <c r="C26" s="116"/>
      <c r="D26" s="116"/>
      <c r="E26" s="362"/>
      <c r="F26" s="362"/>
      <c r="G26" s="363">
        <f t="shared" si="0"/>
        <v>0</v>
      </c>
      <c r="H26" s="275"/>
    </row>
    <row r="27" spans="1:8" ht="16.5" customHeight="1" x14ac:dyDescent="0.2">
      <c r="A27" s="230"/>
      <c r="B27" s="115"/>
      <c r="C27" s="116"/>
      <c r="D27" s="116"/>
      <c r="E27" s="362"/>
      <c r="F27" s="362"/>
      <c r="G27" s="363">
        <f t="shared" si="0"/>
        <v>0</v>
      </c>
      <c r="H27" s="275"/>
    </row>
    <row r="28" spans="1:8" ht="16.5" customHeight="1" x14ac:dyDescent="0.2">
      <c r="A28" s="230"/>
      <c r="B28" s="115"/>
      <c r="C28" s="116"/>
      <c r="D28" s="116"/>
      <c r="E28" s="362"/>
      <c r="F28" s="362"/>
      <c r="G28" s="363">
        <f t="shared" si="0"/>
        <v>0</v>
      </c>
      <c r="H28" s="275"/>
    </row>
    <row r="29" spans="1:8" ht="16.5" customHeight="1" x14ac:dyDescent="0.2">
      <c r="A29" s="230"/>
      <c r="B29" s="115"/>
      <c r="C29" s="116"/>
      <c r="D29" s="116"/>
      <c r="E29" s="362"/>
      <c r="F29" s="362"/>
      <c r="G29" s="363">
        <f t="shared" si="0"/>
        <v>0</v>
      </c>
      <c r="H29" s="275"/>
    </row>
    <row r="30" spans="1:8" ht="16.5" customHeight="1" x14ac:dyDescent="0.2">
      <c r="A30" s="230"/>
      <c r="B30" s="115"/>
      <c r="C30" s="116"/>
      <c r="D30" s="116"/>
      <c r="E30" s="362"/>
      <c r="F30" s="362"/>
      <c r="G30" s="363">
        <f t="shared" si="0"/>
        <v>0</v>
      </c>
      <c r="H30" s="275"/>
    </row>
    <row r="31" spans="1:8" ht="16.5" customHeight="1" x14ac:dyDescent="0.2">
      <c r="A31" s="230"/>
      <c r="B31" s="115"/>
      <c r="C31" s="116"/>
      <c r="D31" s="116"/>
      <c r="E31" s="362"/>
      <c r="F31" s="362"/>
      <c r="G31" s="363">
        <f t="shared" si="0"/>
        <v>0</v>
      </c>
      <c r="H31" s="275"/>
    </row>
    <row r="32" spans="1:8" ht="16.5" customHeight="1" x14ac:dyDescent="0.2">
      <c r="A32" s="230"/>
      <c r="B32" s="115"/>
      <c r="C32" s="116"/>
      <c r="D32" s="116"/>
      <c r="E32" s="362"/>
      <c r="F32" s="362"/>
      <c r="G32" s="363">
        <f t="shared" si="0"/>
        <v>0</v>
      </c>
      <c r="H32" s="275"/>
    </row>
    <row r="33" spans="1:8" ht="16.5" customHeight="1" thickBot="1" x14ac:dyDescent="0.25">
      <c r="A33" s="230"/>
      <c r="B33" s="118"/>
      <c r="C33" s="119"/>
      <c r="D33" s="119"/>
      <c r="E33" s="364"/>
      <c r="F33" s="365"/>
      <c r="G33" s="366">
        <f t="shared" si="0"/>
        <v>0</v>
      </c>
      <c r="H33" s="275"/>
    </row>
    <row r="34" spans="1:8" ht="16.5" customHeight="1" thickBot="1" x14ac:dyDescent="0.25">
      <c r="A34" s="230"/>
      <c r="B34" s="1323" t="s">
        <v>60</v>
      </c>
      <c r="C34" s="1324"/>
      <c r="D34" s="1325"/>
      <c r="E34" s="367">
        <f>SUM(E4:E33)</f>
        <v>0</v>
      </c>
      <c r="F34" s="368">
        <f>SUM(F4:F33)</f>
        <v>0</v>
      </c>
      <c r="G34" s="369">
        <f t="shared" si="0"/>
        <v>0</v>
      </c>
      <c r="H34" s="275"/>
    </row>
    <row r="35" spans="1:8" x14ac:dyDescent="0.2">
      <c r="A35" s="230"/>
      <c r="B35" s="281"/>
      <c r="C35" s="281"/>
      <c r="D35" s="281"/>
      <c r="E35" s="282"/>
      <c r="F35" s="282"/>
      <c r="G35" s="282"/>
      <c r="H35" s="275"/>
    </row>
    <row r="36" spans="1:8" ht="13.5" thickBot="1" x14ac:dyDescent="0.25">
      <c r="A36" s="230"/>
      <c r="B36" s="281"/>
      <c r="C36" s="281"/>
      <c r="D36" s="281"/>
      <c r="E36" s="282"/>
      <c r="F36" s="282"/>
      <c r="G36" s="282"/>
      <c r="H36" s="275"/>
    </row>
    <row r="37" spans="1:8" ht="30" customHeight="1" thickBot="1" x14ac:dyDescent="0.25">
      <c r="A37" s="230"/>
      <c r="B37" s="283"/>
      <c r="C37" s="283"/>
      <c r="D37" s="283"/>
      <c r="E37" s="284" t="s">
        <v>11</v>
      </c>
      <c r="F37" s="285" t="s">
        <v>12</v>
      </c>
      <c r="G37" s="286" t="s">
        <v>62</v>
      </c>
      <c r="H37" s="275"/>
    </row>
    <row r="38" spans="1:8" ht="30" customHeight="1" x14ac:dyDescent="0.2">
      <c r="A38" s="230"/>
      <c r="B38" s="1326" t="s">
        <v>122</v>
      </c>
      <c r="C38" s="1327"/>
      <c r="D38" s="287" t="s">
        <v>131</v>
      </c>
      <c r="E38" s="370">
        <f>SUMIF($D$4:$D$33,"Empresa",E$4:E$33)</f>
        <v>0</v>
      </c>
      <c r="F38" s="371">
        <f>SUMIF($D$4:$D$33,"Empresa",F$4:F$33)</f>
        <v>0</v>
      </c>
      <c r="G38" s="372">
        <f t="shared" ref="G38:G43" si="1">SUM(E38:F38)</f>
        <v>0</v>
      </c>
      <c r="H38" s="275"/>
    </row>
    <row r="39" spans="1:8" ht="30" customHeight="1" x14ac:dyDescent="0.2">
      <c r="A39" s="230"/>
      <c r="B39" s="1328"/>
      <c r="C39" s="1329"/>
      <c r="D39" s="177" t="s">
        <v>133</v>
      </c>
      <c r="E39" s="373">
        <f>SUMIF($C$4:$C$33,"SI",E$4:E$33)</f>
        <v>0</v>
      </c>
      <c r="F39" s="374">
        <f>SUMIF($C$4:$C$33,"SI",F$4:F$33)</f>
        <v>0</v>
      </c>
      <c r="G39" s="375">
        <f t="shared" si="1"/>
        <v>0</v>
      </c>
      <c r="H39" s="275"/>
    </row>
    <row r="40" spans="1:8" ht="30" customHeight="1" x14ac:dyDescent="0.2">
      <c r="A40" s="230"/>
      <c r="B40" s="1328"/>
      <c r="C40" s="1329"/>
      <c r="D40" s="177" t="s">
        <v>120</v>
      </c>
      <c r="E40" s="373">
        <f>SUMIF($D$4:$D$33,"CT",E$4:E$33)</f>
        <v>0</v>
      </c>
      <c r="F40" s="374">
        <f>SUMIF($D$4:$D$33,"CT",F$4:F$33)</f>
        <v>0</v>
      </c>
      <c r="G40" s="375">
        <f t="shared" si="1"/>
        <v>0</v>
      </c>
      <c r="H40" s="275"/>
    </row>
    <row r="41" spans="1:8" ht="30" customHeight="1" x14ac:dyDescent="0.2">
      <c r="A41" s="230"/>
      <c r="B41" s="1328"/>
      <c r="C41" s="1329"/>
      <c r="D41" s="177" t="s">
        <v>125</v>
      </c>
      <c r="E41" s="373">
        <f>SUMIF($D$4:$D$33,"Universidad",E$4:E$33)</f>
        <v>0</v>
      </c>
      <c r="F41" s="374">
        <f>SUMIF($D$4:$D$33,"Universidad",F$4:F$33)</f>
        <v>0</v>
      </c>
      <c r="G41" s="375">
        <f t="shared" si="1"/>
        <v>0</v>
      </c>
      <c r="H41" s="275"/>
    </row>
    <row r="42" spans="1:8" ht="30" customHeight="1" x14ac:dyDescent="0.2">
      <c r="A42" s="230"/>
      <c r="B42" s="1328"/>
      <c r="C42" s="1329"/>
      <c r="D42" s="177" t="s">
        <v>121</v>
      </c>
      <c r="E42" s="373">
        <f>SUMIF($D$4:$D$33,"ICTS",E$4:E$33)</f>
        <v>0</v>
      </c>
      <c r="F42" s="374">
        <f>SUMIF($D$4:$D$33,"ICTS",F$4:F$33)</f>
        <v>0</v>
      </c>
      <c r="G42" s="375">
        <f t="shared" si="1"/>
        <v>0</v>
      </c>
      <c r="H42" s="275"/>
    </row>
    <row r="43" spans="1:8" ht="30" customHeight="1" thickBot="1" x14ac:dyDescent="0.25">
      <c r="A43" s="230"/>
      <c r="B43" s="1330"/>
      <c r="C43" s="1331"/>
      <c r="D43" s="178" t="s">
        <v>132</v>
      </c>
      <c r="E43" s="376">
        <f>SUM(E40:E42)</f>
        <v>0</v>
      </c>
      <c r="F43" s="377">
        <f>SUM(F40:F42)</f>
        <v>0</v>
      </c>
      <c r="G43" s="378">
        <f t="shared" si="1"/>
        <v>0</v>
      </c>
      <c r="H43" s="275"/>
    </row>
    <row r="44" spans="1:8" x14ac:dyDescent="0.2">
      <c r="A44" s="230"/>
      <c r="B44" s="288"/>
      <c r="C44" s="27"/>
      <c r="D44" s="27"/>
      <c r="E44" s="27"/>
      <c r="F44" s="288"/>
      <c r="G44" s="288"/>
      <c r="H44" s="275"/>
    </row>
    <row r="45" spans="1:8" ht="13.5" thickBot="1" x14ac:dyDescent="0.25">
      <c r="A45" s="289"/>
      <c r="B45" s="290"/>
      <c r="C45" s="290"/>
      <c r="D45" s="290"/>
      <c r="E45" s="290"/>
      <c r="F45" s="290"/>
      <c r="G45" s="290"/>
      <c r="H45" s="291"/>
    </row>
    <row r="46" spans="1:8" x14ac:dyDescent="0.2"/>
  </sheetData>
  <sheetProtection password="DD66" sheet="1" selectLockedCells="1"/>
  <mergeCells count="3">
    <mergeCell ref="B2:G2"/>
    <mergeCell ref="B34:D34"/>
    <mergeCell ref="B38:C43"/>
  </mergeCells>
  <phoneticPr fontId="2" type="noConversion"/>
  <dataValidations count="3">
    <dataValidation type="list" allowBlank="1" showInputMessage="1" showErrorMessage="1" sqref="C4:C33" xr:uid="{00000000-0002-0000-0800-000000000000}">
      <formula1>$K$4:$K$5</formula1>
    </dataValidation>
    <dataValidation type="list" allowBlank="1" showInputMessage="1" showErrorMessage="1" sqref="D4:D33" xr:uid="{00000000-0002-0000-0800-000001000000}">
      <formula1>$M$4:$M$7</formula1>
    </dataValidation>
    <dataValidation type="decimal" allowBlank="1" showInputMessage="1" showErrorMessage="1" error="Introduzca un valor numérico" sqref="E4:F33" xr:uid="{00000000-0002-0000-0800-000002000000}">
      <formula1>0</formula1>
      <formula2>99999999</formula2>
    </dataValidation>
  </dataValidations>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44BAD27F59FE42B4637F398F40654B" ma:contentTypeVersion="12" ma:contentTypeDescription="Crear nuevo documento." ma:contentTypeScope="" ma:versionID="c2f27a04b4d94429d25e7680ac33411e">
  <xsd:schema xmlns:xsd="http://www.w3.org/2001/XMLSchema" xmlns:xs="http://www.w3.org/2001/XMLSchema" xmlns:p="http://schemas.microsoft.com/office/2006/metadata/properties" xmlns:ns2="c32ecf5e-18bc-4cc6-831e-795182470d19" xmlns:ns3="6886a53e-59cd-4a13-aa0c-6473b2e9a14c" targetNamespace="http://schemas.microsoft.com/office/2006/metadata/properties" ma:root="true" ma:fieldsID="8a9581ab60310abbab8b85ddb3b24836" ns2:_="" ns3:_="">
    <xsd:import namespace="c32ecf5e-18bc-4cc6-831e-795182470d19"/>
    <xsd:import namespace="6886a53e-59cd-4a13-aa0c-6473b2e9a1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ecf5e-18bc-4cc6-831e-795182470d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86a53e-59cd-4a13-aa0c-6473b2e9a1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97E3DA-66FF-4898-B1AA-478B0DCE1B60}"/>
</file>

<file path=customXml/itemProps2.xml><?xml version="1.0" encoding="utf-8"?>
<ds:datastoreItem xmlns:ds="http://schemas.openxmlformats.org/officeDocument/2006/customXml" ds:itemID="{D7B7C009-D4F5-4D0E-8C71-4B8891BAE994}"/>
</file>

<file path=customXml/itemProps3.xml><?xml version="1.0" encoding="utf-8"?>
<ds:datastoreItem xmlns:ds="http://schemas.openxmlformats.org/officeDocument/2006/customXml" ds:itemID="{E157AF77-E790-4B2D-ADDA-C395D20CEB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Exporta</vt:lpstr>
      <vt:lpstr>VALORACION</vt:lpstr>
      <vt:lpstr>EMPRESA-DATOS GENERALES</vt:lpstr>
      <vt:lpstr>TAMAÑO EMPRESA</vt:lpstr>
      <vt:lpstr>PROYECTO-DATOS GENERALES</vt:lpstr>
      <vt:lpstr>ACTIVOS</vt:lpstr>
      <vt:lpstr>PERSONAL</vt:lpstr>
      <vt:lpstr>MATERIALES</vt:lpstr>
      <vt:lpstr>COLABORACIONES</vt:lpstr>
      <vt:lpstr>OTROS COSTES</vt:lpstr>
      <vt:lpstr>PRESUPUESTO TOTAL</vt:lpstr>
      <vt:lpstr>INGRESOS DEL PROYECTO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X028778</dc:creator>
  <cp:lastModifiedBy>Pedro Navarro</cp:lastModifiedBy>
  <dcterms:created xsi:type="dcterms:W3CDTF">2017-03-28T05:58:36Z</dcterms:created>
  <dcterms:modified xsi:type="dcterms:W3CDTF">2021-02-16T06:43:49Z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0x0101001C44BAD27F59FE42B4637F398F40654B</vt:lpwstr>
  </property>
</Properties>
</file>